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496" windowHeight="11016" firstSheet="3" activeTab="10"/>
  </bookViews>
  <sheets>
    <sheet name="Summary" sheetId="1" r:id="rId1"/>
    <sheet name="Table1" sheetId="2" r:id="rId2"/>
    <sheet name="Table2 PG1" sheetId="4" r:id="rId3"/>
    <sheet name="Table2 PG2" sheetId="3" r:id="rId4"/>
    <sheet name="Table3 Summary" sheetId="5" r:id="rId5"/>
    <sheet name="Table3,1" sheetId="6" r:id="rId6"/>
    <sheet name="Table3,2" sheetId="7" r:id="rId7"/>
    <sheet name="Table3,3" sheetId="9" r:id="rId8"/>
    <sheet name="Table3,4" sheetId="8" r:id="rId9"/>
    <sheet name="Table4" sheetId="10" r:id="rId10"/>
    <sheet name="Table5"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xlnm.Print_Area" localSheetId="1">Table1!$A$1:$Y$151</definedName>
    <definedName name="_xlnm.Print_Area" localSheetId="5">'Table3,1'!$A$1:$BW$348</definedName>
    <definedName name="_xlnm.Print_Area" localSheetId="6">'Table3,2'!$A$1:$BW$161</definedName>
    <definedName name="_xlnm.Print_Area" localSheetId="7">'Table3,3'!$A$1:$BX$190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5" i="11" l="1"/>
  <c r="S49" i="11"/>
  <c r="S48" i="11"/>
  <c r="S47" i="11"/>
  <c r="S46" i="11"/>
  <c r="S45" i="11"/>
  <c r="S44" i="11"/>
  <c r="S43" i="11"/>
  <c r="S42" i="11"/>
  <c r="S41" i="11"/>
  <c r="R40" i="11"/>
  <c r="Q40" i="11"/>
  <c r="P40" i="11"/>
  <c r="O40" i="11"/>
  <c r="N40" i="11"/>
  <c r="M40" i="11"/>
  <c r="L40" i="11"/>
  <c r="K40" i="11"/>
  <c r="J40" i="11"/>
  <c r="I40" i="11"/>
  <c r="H40" i="11"/>
  <c r="G40" i="11"/>
  <c r="F40"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R6" i="11"/>
  <c r="Q6" i="11"/>
  <c r="P6" i="11"/>
  <c r="O6" i="11"/>
  <c r="N6" i="11"/>
  <c r="M6" i="11"/>
  <c r="L6" i="11"/>
  <c r="K6" i="11"/>
  <c r="J6" i="11"/>
  <c r="I6" i="11"/>
  <c r="H6" i="11"/>
  <c r="G6" i="11"/>
  <c r="F6" i="11"/>
  <c r="T23" i="1"/>
  <c r="H22" i="1"/>
  <c r="L22" i="1"/>
  <c r="H23" i="1"/>
  <c r="I23" i="1"/>
  <c r="I22" i="1" s="1"/>
  <c r="J23" i="1"/>
  <c r="J22" i="1" s="1"/>
  <c r="K23" i="1"/>
  <c r="K22" i="1" s="1"/>
  <c r="L23" i="1"/>
  <c r="S40" i="11" l="1"/>
  <c r="S6" i="11"/>
  <c r="X99" i="10"/>
  <c r="W99" i="10"/>
  <c r="T99" i="10"/>
  <c r="W98" i="10"/>
  <c r="S98" i="10"/>
  <c r="T98" i="10" s="1"/>
  <c r="R98" i="10"/>
  <c r="Q98" i="10"/>
  <c r="P98" i="10"/>
  <c r="O98" i="10"/>
  <c r="P92" i="10" s="1"/>
  <c r="N98" i="10"/>
  <c r="M98" i="10"/>
  <c r="L98" i="10"/>
  <c r="K98" i="10"/>
  <c r="J98" i="10"/>
  <c r="I98" i="10"/>
  <c r="H98" i="10"/>
  <c r="G98" i="10"/>
  <c r="W97" i="10"/>
  <c r="S97" i="10"/>
  <c r="T97" i="10" s="1"/>
  <c r="R97" i="10"/>
  <c r="R96" i="10" s="1"/>
  <c r="Q97" i="10"/>
  <c r="P97" i="10"/>
  <c r="O97" i="10"/>
  <c r="N97" i="10"/>
  <c r="M97" i="10"/>
  <c r="L97" i="10"/>
  <c r="K97" i="10"/>
  <c r="J97" i="10"/>
  <c r="J96" i="10" s="1"/>
  <c r="I97" i="10"/>
  <c r="H97" i="10"/>
  <c r="G97" i="10"/>
  <c r="W96" i="10"/>
  <c r="M96" i="10"/>
  <c r="W95" i="10"/>
  <c r="W93" i="10"/>
  <c r="T93" i="10"/>
  <c r="W92" i="10"/>
  <c r="T92" i="10"/>
  <c r="Q92" i="10"/>
  <c r="N92" i="10"/>
  <c r="K92" i="10"/>
  <c r="J92" i="10"/>
  <c r="G92" i="10"/>
  <c r="W91" i="10"/>
  <c r="T91" i="10"/>
  <c r="P91" i="10"/>
  <c r="M91" i="10"/>
  <c r="G91" i="10"/>
  <c r="W90" i="10"/>
  <c r="H90" i="10"/>
  <c r="X88" i="10"/>
  <c r="W88" i="10"/>
  <c r="X84" i="10"/>
  <c r="W84" i="10"/>
  <c r="X83" i="10"/>
  <c r="W83" i="10"/>
  <c r="S83" i="10"/>
  <c r="R83" i="10"/>
  <c r="Q83" i="10"/>
  <c r="P83" i="10"/>
  <c r="O83" i="10"/>
  <c r="N83" i="10"/>
  <c r="M83" i="10"/>
  <c r="L83" i="10"/>
  <c r="K83" i="10"/>
  <c r="J83" i="10"/>
  <c r="I83" i="10"/>
  <c r="H83" i="10"/>
  <c r="G83" i="10"/>
  <c r="X82" i="10"/>
  <c r="W82" i="10"/>
  <c r="S82" i="10"/>
  <c r="R82" i="10"/>
  <c r="Q82" i="10"/>
  <c r="P82" i="10"/>
  <c r="O82" i="10"/>
  <c r="N82" i="10"/>
  <c r="M82" i="10"/>
  <c r="L82" i="10"/>
  <c r="K82" i="10"/>
  <c r="J82" i="10"/>
  <c r="I82" i="10"/>
  <c r="H82" i="10"/>
  <c r="G82" i="10"/>
  <c r="X81" i="10"/>
  <c r="W81" i="10"/>
  <c r="S81" i="10"/>
  <c r="R81" i="10"/>
  <c r="Q81" i="10"/>
  <c r="P81" i="10"/>
  <c r="O81" i="10"/>
  <c r="N81" i="10"/>
  <c r="M81" i="10"/>
  <c r="L81" i="10"/>
  <c r="K81" i="10"/>
  <c r="J81" i="10"/>
  <c r="I81" i="10"/>
  <c r="H81" i="10"/>
  <c r="G81" i="10"/>
  <c r="X80" i="10"/>
  <c r="W80" i="10"/>
  <c r="X79" i="10"/>
  <c r="W79" i="10"/>
  <c r="X78" i="10"/>
  <c r="W78" i="10"/>
  <c r="X77" i="10"/>
  <c r="W77" i="10"/>
  <c r="T77" i="10"/>
  <c r="X76" i="10"/>
  <c r="W76" i="10"/>
  <c r="T76" i="10"/>
  <c r="X75" i="10"/>
  <c r="W75" i="10"/>
  <c r="X74" i="10"/>
  <c r="W74" i="10"/>
  <c r="T74" i="10"/>
  <c r="X73" i="10"/>
  <c r="W73" i="10"/>
  <c r="T73" i="10"/>
  <c r="X72" i="10"/>
  <c r="W72" i="10"/>
  <c r="S72" i="10"/>
  <c r="R72" i="10"/>
  <c r="Q72" i="10"/>
  <c r="P72" i="10"/>
  <c r="O72" i="10"/>
  <c r="N72" i="10"/>
  <c r="M72" i="10"/>
  <c r="L72" i="10"/>
  <c r="K72" i="10"/>
  <c r="J72" i="10"/>
  <c r="I72" i="10"/>
  <c r="H72" i="10"/>
  <c r="X71" i="10"/>
  <c r="W71" i="10"/>
  <c r="X70" i="10"/>
  <c r="W70" i="10"/>
  <c r="S70" i="10"/>
  <c r="I70" i="10"/>
  <c r="H70" i="10"/>
  <c r="G70" i="10"/>
  <c r="X69" i="10"/>
  <c r="W69" i="10"/>
  <c r="S69" i="10"/>
  <c r="I69" i="10"/>
  <c r="H69" i="10"/>
  <c r="T69" i="10" s="1"/>
  <c r="G69" i="10"/>
  <c r="X68" i="10"/>
  <c r="W68" i="10"/>
  <c r="X67" i="10"/>
  <c r="W67" i="10"/>
  <c r="S67" i="10"/>
  <c r="I67" i="10"/>
  <c r="H67" i="10"/>
  <c r="H65" i="10" s="1"/>
  <c r="G67" i="10"/>
  <c r="X66" i="10"/>
  <c r="W66" i="10"/>
  <c r="S66" i="10"/>
  <c r="I66" i="10"/>
  <c r="H66" i="10"/>
  <c r="G66" i="10"/>
  <c r="X65" i="10"/>
  <c r="W65" i="10"/>
  <c r="R65" i="10"/>
  <c r="Q65" i="10"/>
  <c r="P65" i="10"/>
  <c r="O65" i="10"/>
  <c r="N65" i="10"/>
  <c r="M65" i="10"/>
  <c r="L65" i="10"/>
  <c r="K65" i="10"/>
  <c r="J65" i="10"/>
  <c r="X63" i="10"/>
  <c r="W63" i="10"/>
  <c r="S63" i="10"/>
  <c r="R63" i="10"/>
  <c r="Q63" i="10"/>
  <c r="P63" i="10"/>
  <c r="O63" i="10"/>
  <c r="N63" i="10"/>
  <c r="M63" i="10"/>
  <c r="L63" i="10"/>
  <c r="K63" i="10"/>
  <c r="J63" i="10"/>
  <c r="I63" i="10"/>
  <c r="H63" i="10"/>
  <c r="G63" i="10"/>
  <c r="X62" i="10"/>
  <c r="W62" i="10"/>
  <c r="S62" i="10"/>
  <c r="R62" i="10"/>
  <c r="Q62" i="10"/>
  <c r="P62" i="10"/>
  <c r="O62" i="10"/>
  <c r="N62" i="10"/>
  <c r="M62" i="10"/>
  <c r="L62" i="10"/>
  <c r="K62" i="10"/>
  <c r="J62" i="10"/>
  <c r="I62" i="10"/>
  <c r="H62" i="10"/>
  <c r="G62" i="10"/>
  <c r="X60" i="10"/>
  <c r="W60" i="10"/>
  <c r="N60" i="10"/>
  <c r="N58" i="10" s="1"/>
  <c r="N56" i="10" s="1"/>
  <c r="M60" i="10"/>
  <c r="L60" i="10"/>
  <c r="K60" i="10"/>
  <c r="J60" i="10"/>
  <c r="I60" i="10"/>
  <c r="H60" i="10"/>
  <c r="G60" i="10"/>
  <c r="X59" i="10"/>
  <c r="W59" i="10"/>
  <c r="S59" i="10"/>
  <c r="S58" i="10" s="1"/>
  <c r="R59" i="10"/>
  <c r="Q59" i="10"/>
  <c r="Q58" i="10" s="1"/>
  <c r="P59" i="10"/>
  <c r="O59" i="10"/>
  <c r="N59" i="10"/>
  <c r="M59" i="10"/>
  <c r="L59" i="10"/>
  <c r="K59" i="10"/>
  <c r="J59" i="10"/>
  <c r="I59" i="10"/>
  <c r="H59" i="10"/>
  <c r="H58" i="10" s="1"/>
  <c r="G59" i="10"/>
  <c r="X58" i="10"/>
  <c r="W58" i="10"/>
  <c r="K58" i="10"/>
  <c r="X56" i="10"/>
  <c r="W56" i="10"/>
  <c r="X55" i="10"/>
  <c r="W55" i="10"/>
  <c r="X54" i="10"/>
  <c r="W54" i="10"/>
  <c r="T54" i="10"/>
  <c r="X53" i="10"/>
  <c r="W53" i="10"/>
  <c r="S53" i="10"/>
  <c r="R53" i="10"/>
  <c r="Q53" i="10"/>
  <c r="P53" i="10"/>
  <c r="O53" i="10"/>
  <c r="N53" i="10"/>
  <c r="M53" i="10"/>
  <c r="L53" i="10"/>
  <c r="K53" i="10"/>
  <c r="J53" i="10"/>
  <c r="I53" i="10"/>
  <c r="H53" i="10"/>
  <c r="X51" i="10"/>
  <c r="W51" i="10"/>
  <c r="S51" i="10"/>
  <c r="R51" i="10"/>
  <c r="Q51" i="10"/>
  <c r="P51" i="10"/>
  <c r="O51" i="10"/>
  <c r="N51" i="10"/>
  <c r="M51" i="10"/>
  <c r="L51" i="10"/>
  <c r="K51" i="10"/>
  <c r="K49" i="10" s="1"/>
  <c r="J51" i="10"/>
  <c r="I51" i="10"/>
  <c r="H51" i="10"/>
  <c r="G51" i="10"/>
  <c r="X50" i="10"/>
  <c r="W50" i="10"/>
  <c r="S50" i="10"/>
  <c r="R50" i="10"/>
  <c r="R49" i="10" s="1"/>
  <c r="Q50" i="10"/>
  <c r="P50" i="10"/>
  <c r="O50" i="10"/>
  <c r="N50" i="10"/>
  <c r="M50" i="10"/>
  <c r="L50" i="10"/>
  <c r="K50" i="10"/>
  <c r="J50" i="10"/>
  <c r="I50" i="10"/>
  <c r="H50" i="10"/>
  <c r="G50" i="10"/>
  <c r="X49" i="10"/>
  <c r="W49" i="10"/>
  <c r="X47" i="10"/>
  <c r="W47" i="10"/>
  <c r="S47" i="10"/>
  <c r="R47" i="10"/>
  <c r="Q47" i="10"/>
  <c r="P47" i="10"/>
  <c r="O47" i="10"/>
  <c r="N47" i="10"/>
  <c r="M47" i="10"/>
  <c r="L47" i="10"/>
  <c r="K47" i="10"/>
  <c r="J47" i="10"/>
  <c r="I47" i="10"/>
  <c r="H47" i="10"/>
  <c r="G47" i="10"/>
  <c r="X46" i="10"/>
  <c r="W46" i="10"/>
  <c r="S46" i="10"/>
  <c r="R46" i="10"/>
  <c r="Q46" i="10"/>
  <c r="P46" i="10"/>
  <c r="O46" i="10"/>
  <c r="O44" i="10" s="1"/>
  <c r="N46" i="10"/>
  <c r="M46" i="10"/>
  <c r="L46" i="10"/>
  <c r="K46" i="10"/>
  <c r="J46" i="10"/>
  <c r="I46" i="10"/>
  <c r="H46" i="10"/>
  <c r="G46" i="10"/>
  <c r="X45" i="10"/>
  <c r="W45" i="10"/>
  <c r="S45" i="10"/>
  <c r="R45" i="10"/>
  <c r="Q45" i="10"/>
  <c r="P45" i="10"/>
  <c r="O45" i="10"/>
  <c r="N45" i="10"/>
  <c r="M45" i="10"/>
  <c r="L45" i="10"/>
  <c r="K45" i="10"/>
  <c r="J45" i="10"/>
  <c r="I45" i="10"/>
  <c r="H45" i="10"/>
  <c r="G45" i="10"/>
  <c r="X44" i="10"/>
  <c r="W44" i="10"/>
  <c r="X42" i="10"/>
  <c r="W42" i="10"/>
  <c r="T42" i="10"/>
  <c r="X41" i="10"/>
  <c r="W41" i="10"/>
  <c r="S41" i="10"/>
  <c r="R41" i="10"/>
  <c r="Q41" i="10"/>
  <c r="P41" i="10"/>
  <c r="O41" i="10"/>
  <c r="O37" i="10" s="1"/>
  <c r="N41" i="10"/>
  <c r="M41" i="10"/>
  <c r="L41" i="10"/>
  <c r="K41" i="10"/>
  <c r="J41" i="10"/>
  <c r="I41" i="10"/>
  <c r="H41" i="10"/>
  <c r="G41" i="10"/>
  <c r="X39" i="10"/>
  <c r="W39" i="10"/>
  <c r="S39" i="10"/>
  <c r="R39" i="10"/>
  <c r="Q39" i="10"/>
  <c r="P39" i="10"/>
  <c r="O39" i="10"/>
  <c r="N39" i="10"/>
  <c r="M39" i="10"/>
  <c r="L39" i="10"/>
  <c r="K39" i="10"/>
  <c r="J39" i="10"/>
  <c r="I39" i="10"/>
  <c r="H39" i="10"/>
  <c r="G39" i="10"/>
  <c r="X38" i="10"/>
  <c r="W38" i="10"/>
  <c r="S38" i="10"/>
  <c r="R38" i="10"/>
  <c r="Q38" i="10"/>
  <c r="P38" i="10"/>
  <c r="O38" i="10"/>
  <c r="N38" i="10"/>
  <c r="M38" i="10"/>
  <c r="L38" i="10"/>
  <c r="K38" i="10"/>
  <c r="J38" i="10"/>
  <c r="I38" i="10"/>
  <c r="H38" i="10"/>
  <c r="G38" i="10"/>
  <c r="X37" i="10"/>
  <c r="W37" i="10"/>
  <c r="X35" i="10"/>
  <c r="W35" i="10"/>
  <c r="X33" i="10"/>
  <c r="W33" i="10"/>
  <c r="S33" i="10"/>
  <c r="R33" i="10"/>
  <c r="Q33" i="10"/>
  <c r="P33" i="10"/>
  <c r="O33" i="10"/>
  <c r="N33" i="10"/>
  <c r="M33" i="10"/>
  <c r="L33" i="10"/>
  <c r="K33" i="10"/>
  <c r="J33" i="10"/>
  <c r="I33" i="10"/>
  <c r="H33" i="10"/>
  <c r="G33" i="10"/>
  <c r="Z30" i="10"/>
  <c r="X30" i="10"/>
  <c r="W30" i="10"/>
  <c r="X28" i="10"/>
  <c r="W28" i="10"/>
  <c r="X24" i="10"/>
  <c r="W24" i="10"/>
  <c r="T24" i="10"/>
  <c r="G24" i="10"/>
  <c r="D24" i="10"/>
  <c r="X23" i="10"/>
  <c r="W23" i="10"/>
  <c r="X21" i="10"/>
  <c r="W21" i="10"/>
  <c r="Q21" i="10"/>
  <c r="N21" i="10"/>
  <c r="L21" i="10"/>
  <c r="J21" i="10"/>
  <c r="I21" i="10"/>
  <c r="H21" i="10"/>
  <c r="G21" i="10"/>
  <c r="X20" i="10"/>
  <c r="W20" i="10"/>
  <c r="N20" i="10"/>
  <c r="J20" i="10"/>
  <c r="I20" i="10"/>
  <c r="H20" i="10"/>
  <c r="G20" i="10"/>
  <c r="X19" i="10"/>
  <c r="W19" i="10"/>
  <c r="T19" i="10"/>
  <c r="N19" i="10"/>
  <c r="I19" i="10"/>
  <c r="G19" i="10"/>
  <c r="X18" i="10"/>
  <c r="W18" i="10"/>
  <c r="N18" i="10"/>
  <c r="J18" i="10"/>
  <c r="I18" i="10"/>
  <c r="H18" i="10"/>
  <c r="G18" i="10"/>
  <c r="X17" i="10"/>
  <c r="W17" i="10"/>
  <c r="N17" i="10"/>
  <c r="J17" i="10"/>
  <c r="I17" i="10"/>
  <c r="H17" i="10"/>
  <c r="G17" i="10"/>
  <c r="X16" i="10"/>
  <c r="W16" i="10"/>
  <c r="S16" i="10"/>
  <c r="R16" i="10"/>
  <c r="P16" i="10"/>
  <c r="O16" i="10"/>
  <c r="M16" i="10"/>
  <c r="K16" i="10"/>
  <c r="X14" i="10"/>
  <c r="W14" i="10"/>
  <c r="G14" i="10"/>
  <c r="X12" i="10"/>
  <c r="W12" i="10"/>
  <c r="S12" i="10"/>
  <c r="R12" i="10"/>
  <c r="Q12" i="10"/>
  <c r="P12" i="10"/>
  <c r="O12" i="10"/>
  <c r="O14" i="10" s="1"/>
  <c r="N12" i="10"/>
  <c r="M12" i="10"/>
  <c r="L12" i="10"/>
  <c r="K12" i="10"/>
  <c r="J12" i="10"/>
  <c r="I12" i="10"/>
  <c r="H12" i="10"/>
  <c r="X10" i="10"/>
  <c r="W10" i="10"/>
  <c r="S10" i="10"/>
  <c r="R10" i="10"/>
  <c r="Q10" i="10"/>
  <c r="P10" i="10"/>
  <c r="O10" i="10"/>
  <c r="N10" i="10"/>
  <c r="M10" i="10"/>
  <c r="L10" i="10"/>
  <c r="K10" i="10"/>
  <c r="J10" i="10"/>
  <c r="I10" i="10"/>
  <c r="H10" i="10"/>
  <c r="G10" i="10"/>
  <c r="BT81" i="8"/>
  <c r="BS81" i="8"/>
  <c r="BR81" i="8"/>
  <c r="BQ81" i="8"/>
  <c r="BO81" i="8"/>
  <c r="BN81" i="8"/>
  <c r="BM81" i="8"/>
  <c r="BL81" i="8"/>
  <c r="BJ81" i="8"/>
  <c r="BI81" i="8"/>
  <c r="BH81" i="8"/>
  <c r="BG81" i="8"/>
  <c r="BE81" i="8"/>
  <c r="BD81" i="8"/>
  <c r="BC81" i="8"/>
  <c r="BB81" i="8"/>
  <c r="AZ81" i="8"/>
  <c r="AY81" i="8"/>
  <c r="AX81" i="8"/>
  <c r="AW81" i="8"/>
  <c r="AU81" i="8"/>
  <c r="AT81" i="8"/>
  <c r="AS81" i="8"/>
  <c r="AR81" i="8"/>
  <c r="AP81" i="8"/>
  <c r="AO81" i="8"/>
  <c r="AN81" i="8"/>
  <c r="AM81" i="8"/>
  <c r="AK81" i="8"/>
  <c r="AJ81" i="8"/>
  <c r="AI81" i="8"/>
  <c r="AH81" i="8"/>
  <c r="AF81" i="8"/>
  <c r="AE81" i="8"/>
  <c r="AD81" i="8"/>
  <c r="AC81" i="8"/>
  <c r="AA81" i="8"/>
  <c r="Z81" i="8"/>
  <c r="Y81" i="8"/>
  <c r="X81" i="8"/>
  <c r="V81" i="8"/>
  <c r="U81" i="8"/>
  <c r="T81" i="8"/>
  <c r="S81" i="8"/>
  <c r="Q81" i="8"/>
  <c r="P81" i="8"/>
  <c r="O81" i="8"/>
  <c r="N81" i="8"/>
  <c r="BU80" i="8"/>
  <c r="BT80" i="8"/>
  <c r="BS80" i="8"/>
  <c r="BR80" i="8"/>
  <c r="BQ80" i="8"/>
  <c r="BP80" i="8"/>
  <c r="BO80" i="8"/>
  <c r="BN80" i="8"/>
  <c r="BM80" i="8"/>
  <c r="BL80" i="8"/>
  <c r="BK80" i="8"/>
  <c r="BJ80" i="8"/>
  <c r="BI80" i="8"/>
  <c r="BH80" i="8"/>
  <c r="BG80" i="8"/>
  <c r="BF80" i="8"/>
  <c r="BE80" i="8"/>
  <c r="BD80" i="8"/>
  <c r="BC80" i="8"/>
  <c r="BB80" i="8"/>
  <c r="BA80" i="8"/>
  <c r="AZ80" i="8"/>
  <c r="AY80" i="8"/>
  <c r="AX80" i="8"/>
  <c r="AW80" i="8"/>
  <c r="AV80" i="8"/>
  <c r="AU80" i="8"/>
  <c r="AT80" i="8"/>
  <c r="AS80" i="8"/>
  <c r="AR80" i="8"/>
  <c r="AQ80" i="8"/>
  <c r="AP80" i="8"/>
  <c r="AO80" i="8"/>
  <c r="AN80" i="8"/>
  <c r="AM80" i="8"/>
  <c r="AL80" i="8"/>
  <c r="AK80" i="8"/>
  <c r="AJ80" i="8"/>
  <c r="AI80" i="8"/>
  <c r="AH80" i="8"/>
  <c r="AG80" i="8"/>
  <c r="AF80" i="8"/>
  <c r="AE80" i="8"/>
  <c r="AD80" i="8"/>
  <c r="AC80" i="8"/>
  <c r="AB80" i="8"/>
  <c r="AA80" i="8"/>
  <c r="Z80" i="8"/>
  <c r="Y80" i="8"/>
  <c r="X80" i="8"/>
  <c r="W80" i="8"/>
  <c r="V80" i="8"/>
  <c r="U80" i="8"/>
  <c r="T80" i="8"/>
  <c r="S80" i="8"/>
  <c r="R80" i="8"/>
  <c r="Q80" i="8"/>
  <c r="P80" i="8"/>
  <c r="O80" i="8"/>
  <c r="N80" i="8"/>
  <c r="M80" i="8"/>
  <c r="BT79" i="8"/>
  <c r="BS79" i="8"/>
  <c r="BR79" i="8"/>
  <c r="BQ79" i="8"/>
  <c r="BO79" i="8"/>
  <c r="BN79" i="8"/>
  <c r="BM79" i="8"/>
  <c r="BL79" i="8"/>
  <c r="BJ79" i="8"/>
  <c r="BI79" i="8"/>
  <c r="BH79" i="8"/>
  <c r="BG79" i="8"/>
  <c r="BE79" i="8"/>
  <c r="BD79" i="8"/>
  <c r="BC79" i="8"/>
  <c r="BB79" i="8"/>
  <c r="AZ79" i="8"/>
  <c r="AY79" i="8"/>
  <c r="AX79" i="8"/>
  <c r="AW79" i="8"/>
  <c r="AU79" i="8"/>
  <c r="AT79" i="8"/>
  <c r="AS79" i="8"/>
  <c r="AR79" i="8"/>
  <c r="AP79" i="8"/>
  <c r="AO79" i="8"/>
  <c r="AN79" i="8"/>
  <c r="AM79" i="8"/>
  <c r="AK79" i="8"/>
  <c r="AJ79" i="8"/>
  <c r="AI79" i="8"/>
  <c r="AH79" i="8"/>
  <c r="AF79" i="8"/>
  <c r="AE79" i="8"/>
  <c r="AD79" i="8"/>
  <c r="AC79" i="8"/>
  <c r="AA79" i="8"/>
  <c r="Z79" i="8"/>
  <c r="Y79" i="8"/>
  <c r="X79" i="8"/>
  <c r="V79" i="8"/>
  <c r="U79" i="8"/>
  <c r="T79" i="8"/>
  <c r="S79" i="8"/>
  <c r="Q79" i="8"/>
  <c r="P79" i="8"/>
  <c r="O79" i="8"/>
  <c r="N79" i="8"/>
  <c r="BU78" i="8"/>
  <c r="BT78" i="8"/>
  <c r="BS78" i="8"/>
  <c r="BR78" i="8"/>
  <c r="BQ78" i="8"/>
  <c r="BP78" i="8"/>
  <c r="BO78" i="8"/>
  <c r="BN78" i="8"/>
  <c r="BM78" i="8"/>
  <c r="BL78" i="8"/>
  <c r="BK78" i="8"/>
  <c r="BJ78" i="8"/>
  <c r="BI78" i="8"/>
  <c r="BH78" i="8"/>
  <c r="BG78" i="8"/>
  <c r="BF78" i="8"/>
  <c r="BE78" i="8"/>
  <c r="BD78" i="8"/>
  <c r="BC78" i="8"/>
  <c r="BB78" i="8"/>
  <c r="BA78" i="8"/>
  <c r="AZ78" i="8"/>
  <c r="AY78" i="8"/>
  <c r="AX78" i="8"/>
  <c r="AW78" i="8"/>
  <c r="AV78" i="8"/>
  <c r="AU78" i="8"/>
  <c r="AT78" i="8"/>
  <c r="AS78" i="8"/>
  <c r="AR78" i="8"/>
  <c r="AQ78" i="8"/>
  <c r="AP78" i="8"/>
  <c r="AO78" i="8"/>
  <c r="AN78" i="8"/>
  <c r="AM78" i="8"/>
  <c r="AL78" i="8"/>
  <c r="AK78" i="8"/>
  <c r="AJ78" i="8"/>
  <c r="AI78" i="8"/>
  <c r="AH78" i="8"/>
  <c r="AG78" i="8"/>
  <c r="AF78" i="8"/>
  <c r="AE78" i="8"/>
  <c r="AD78" i="8"/>
  <c r="AC78" i="8"/>
  <c r="AB78" i="8"/>
  <c r="AA78" i="8"/>
  <c r="Z78" i="8"/>
  <c r="Y78" i="8"/>
  <c r="X78" i="8"/>
  <c r="W78" i="8"/>
  <c r="V78" i="8"/>
  <c r="U78" i="8"/>
  <c r="T78" i="8"/>
  <c r="S78" i="8"/>
  <c r="R78" i="8"/>
  <c r="Q78" i="8"/>
  <c r="P78" i="8"/>
  <c r="O78" i="8"/>
  <c r="N78" i="8"/>
  <c r="M78" i="8"/>
  <c r="BU77" i="8"/>
  <c r="BT77" i="8"/>
  <c r="BS77" i="8"/>
  <c r="BR77" i="8"/>
  <c r="BQ77" i="8"/>
  <c r="BP77" i="8"/>
  <c r="BO77" i="8"/>
  <c r="BN77" i="8"/>
  <c r="BM77" i="8"/>
  <c r="BL77" i="8"/>
  <c r="BK77" i="8"/>
  <c r="BJ77" i="8"/>
  <c r="BI77" i="8"/>
  <c r="BH77" i="8"/>
  <c r="BG77" i="8"/>
  <c r="BF77" i="8"/>
  <c r="BE77" i="8"/>
  <c r="BD77" i="8"/>
  <c r="BC77" i="8"/>
  <c r="BB77" i="8"/>
  <c r="BA77" i="8"/>
  <c r="AZ77" i="8"/>
  <c r="AY77" i="8"/>
  <c r="AX77" i="8"/>
  <c r="AW77" i="8"/>
  <c r="AV77" i="8"/>
  <c r="AU77" i="8"/>
  <c r="AT77" i="8"/>
  <c r="AS77" i="8"/>
  <c r="AR77" i="8"/>
  <c r="AQ77" i="8"/>
  <c r="AP77" i="8"/>
  <c r="AO77" i="8"/>
  <c r="AN77" i="8"/>
  <c r="AM77" i="8"/>
  <c r="AL77" i="8"/>
  <c r="AK77" i="8"/>
  <c r="AJ77" i="8"/>
  <c r="AI77" i="8"/>
  <c r="AH77" i="8"/>
  <c r="AG77" i="8"/>
  <c r="AF77" i="8"/>
  <c r="AE77" i="8"/>
  <c r="AD77" i="8"/>
  <c r="AC77" i="8"/>
  <c r="AB77" i="8"/>
  <c r="AA77" i="8"/>
  <c r="Z77" i="8"/>
  <c r="Y77" i="8"/>
  <c r="X77" i="8"/>
  <c r="W77" i="8"/>
  <c r="V77" i="8"/>
  <c r="U77" i="8"/>
  <c r="T77" i="8"/>
  <c r="S77" i="8"/>
  <c r="R77" i="8"/>
  <c r="Q77" i="8"/>
  <c r="P77" i="8"/>
  <c r="O77" i="8"/>
  <c r="N77" i="8"/>
  <c r="M77" i="8"/>
  <c r="BU76" i="8"/>
  <c r="BT76" i="8"/>
  <c r="BS76" i="8"/>
  <c r="BR76" i="8"/>
  <c r="BQ76" i="8"/>
  <c r="BP76" i="8"/>
  <c r="BO76" i="8"/>
  <c r="BN76" i="8"/>
  <c r="BM76" i="8"/>
  <c r="BL76" i="8"/>
  <c r="BK76" i="8"/>
  <c r="BJ76"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BT75" i="8"/>
  <c r="BS75" i="8"/>
  <c r="BR75" i="8"/>
  <c r="BQ75" i="8"/>
  <c r="BP75" i="8"/>
  <c r="BO75" i="8"/>
  <c r="BN75" i="8"/>
  <c r="BM75" i="8"/>
  <c r="BL75" i="8"/>
  <c r="BK75" i="8"/>
  <c r="BJ75" i="8"/>
  <c r="BI75" i="8"/>
  <c r="BH75" i="8"/>
  <c r="BG75" i="8"/>
  <c r="BF75" i="8"/>
  <c r="BE75" i="8"/>
  <c r="BD75" i="8"/>
  <c r="BC75" i="8"/>
  <c r="BB75" i="8"/>
  <c r="BA75" i="8"/>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R75" i="8"/>
  <c r="Q75" i="8"/>
  <c r="P75" i="8"/>
  <c r="O75" i="8"/>
  <c r="N75" i="8"/>
  <c r="M75" i="8"/>
  <c r="BT74" i="8"/>
  <c r="BS74" i="8"/>
  <c r="BR74" i="8"/>
  <c r="BQ74" i="8"/>
  <c r="BP74" i="8"/>
  <c r="BO74" i="8"/>
  <c r="BN74" i="8"/>
  <c r="BM74" i="8"/>
  <c r="BL74" i="8"/>
  <c r="BK74" i="8"/>
  <c r="BJ74" i="8"/>
  <c r="BI74" i="8"/>
  <c r="BH74" i="8"/>
  <c r="BG74" i="8"/>
  <c r="BF74" i="8"/>
  <c r="BE74" i="8"/>
  <c r="BD74" i="8"/>
  <c r="BC74" i="8"/>
  <c r="BB74" i="8"/>
  <c r="BA74" i="8"/>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T74" i="8"/>
  <c r="S74" i="8"/>
  <c r="R74" i="8"/>
  <c r="Q74" i="8"/>
  <c r="P74" i="8"/>
  <c r="O74" i="8"/>
  <c r="N74" i="8"/>
  <c r="M74" i="8"/>
  <c r="BT73" i="8"/>
  <c r="BS73" i="8"/>
  <c r="BR73" i="8"/>
  <c r="BQ73" i="8"/>
  <c r="BO73" i="8"/>
  <c r="BN73" i="8"/>
  <c r="BM73" i="8"/>
  <c r="BL73" i="8"/>
  <c r="BJ73" i="8"/>
  <c r="BI73" i="8"/>
  <c r="BH73" i="8"/>
  <c r="BG73" i="8"/>
  <c r="BE73" i="8"/>
  <c r="BD73" i="8"/>
  <c r="BC73" i="8"/>
  <c r="BB73" i="8"/>
  <c r="AZ73" i="8"/>
  <c r="AY73" i="8"/>
  <c r="AX73" i="8"/>
  <c r="AW73" i="8"/>
  <c r="AU73" i="8"/>
  <c r="AT73" i="8"/>
  <c r="AS73" i="8"/>
  <c r="AR73" i="8"/>
  <c r="AP73" i="8"/>
  <c r="AO73" i="8"/>
  <c r="AN73" i="8"/>
  <c r="AM73" i="8"/>
  <c r="AK73" i="8"/>
  <c r="AJ73" i="8"/>
  <c r="AI73" i="8"/>
  <c r="AH73" i="8"/>
  <c r="AF73" i="8"/>
  <c r="AE73" i="8"/>
  <c r="AD73" i="8"/>
  <c r="AC73" i="8"/>
  <c r="AA73" i="8"/>
  <c r="Z73" i="8"/>
  <c r="Y73" i="8"/>
  <c r="X73" i="8"/>
  <c r="V73" i="8"/>
  <c r="U73" i="8"/>
  <c r="T73" i="8"/>
  <c r="S73" i="8"/>
  <c r="Q73" i="8"/>
  <c r="P73" i="8"/>
  <c r="O73" i="8"/>
  <c r="N73" i="8"/>
  <c r="BU72" i="8"/>
  <c r="BT72" i="8"/>
  <c r="BS72" i="8"/>
  <c r="BR72" i="8"/>
  <c r="BQ72" i="8"/>
  <c r="BP72" i="8"/>
  <c r="BO72" i="8"/>
  <c r="BN72" i="8"/>
  <c r="BM72" i="8"/>
  <c r="BL72" i="8"/>
  <c r="BK72" i="8"/>
  <c r="BJ72" i="8"/>
  <c r="BI72" i="8"/>
  <c r="BH72" i="8"/>
  <c r="BG72" i="8"/>
  <c r="BF72" i="8"/>
  <c r="BE72" i="8"/>
  <c r="BD72" i="8"/>
  <c r="BC72" i="8"/>
  <c r="BB72" i="8"/>
  <c r="BA72"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R72" i="8"/>
  <c r="Q72" i="8"/>
  <c r="P72" i="8"/>
  <c r="O72" i="8"/>
  <c r="N72" i="8"/>
  <c r="M72" i="8"/>
  <c r="BU71" i="8"/>
  <c r="BT71" i="8"/>
  <c r="BS71" i="8"/>
  <c r="BR71" i="8"/>
  <c r="BQ71" i="8"/>
  <c r="BP71" i="8"/>
  <c r="BO71" i="8"/>
  <c r="BN71" i="8"/>
  <c r="BM71" i="8"/>
  <c r="BL71" i="8"/>
  <c r="BK71" i="8"/>
  <c r="BJ71" i="8"/>
  <c r="BI71" i="8"/>
  <c r="BH71" i="8"/>
  <c r="BG71" i="8"/>
  <c r="BF71" i="8"/>
  <c r="BE71" i="8"/>
  <c r="BD71" i="8"/>
  <c r="BC71" i="8"/>
  <c r="BB71" i="8"/>
  <c r="BA71" i="8"/>
  <c r="AZ71" i="8"/>
  <c r="AY71" i="8"/>
  <c r="AX71"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R71" i="8"/>
  <c r="Q71" i="8"/>
  <c r="P71" i="8"/>
  <c r="O71" i="8"/>
  <c r="N71" i="8"/>
  <c r="M71" i="8"/>
  <c r="BT70" i="8"/>
  <c r="BS70" i="8"/>
  <c r="BR70" i="8"/>
  <c r="BQ70" i="8"/>
  <c r="BP70" i="8"/>
  <c r="BO70" i="8"/>
  <c r="BN70" i="8"/>
  <c r="BM70" i="8"/>
  <c r="BL70" i="8"/>
  <c r="BK70" i="8"/>
  <c r="BJ70" i="8"/>
  <c r="BI70" i="8"/>
  <c r="BH70" i="8"/>
  <c r="BG70" i="8"/>
  <c r="BF70" i="8"/>
  <c r="BE70" i="8"/>
  <c r="BD70" i="8"/>
  <c r="BC70" i="8"/>
  <c r="BB70" i="8"/>
  <c r="BA70" i="8"/>
  <c r="AZ70" i="8"/>
  <c r="AY70" i="8"/>
  <c r="AX70"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R70" i="8"/>
  <c r="Q70" i="8"/>
  <c r="P70" i="8"/>
  <c r="O70" i="8"/>
  <c r="N70" i="8"/>
  <c r="M70" i="8"/>
  <c r="BT69" i="8"/>
  <c r="BS69" i="8"/>
  <c r="BR69" i="8"/>
  <c r="BQ69" i="8"/>
  <c r="BP69" i="8"/>
  <c r="BO69" i="8"/>
  <c r="BN69" i="8"/>
  <c r="BM69" i="8"/>
  <c r="BL69" i="8"/>
  <c r="BK69" i="8"/>
  <c r="BJ69" i="8"/>
  <c r="BI69" i="8"/>
  <c r="BH69" i="8"/>
  <c r="BG69" i="8"/>
  <c r="BF69" i="8"/>
  <c r="BE69" i="8"/>
  <c r="BD69" i="8"/>
  <c r="BC69" i="8"/>
  <c r="BB69" i="8"/>
  <c r="BA69" i="8"/>
  <c r="AZ69" i="8"/>
  <c r="AY69" i="8"/>
  <c r="AX69"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R69" i="8"/>
  <c r="Q69" i="8"/>
  <c r="P69" i="8"/>
  <c r="O69" i="8"/>
  <c r="N69" i="8"/>
  <c r="M69" i="8"/>
  <c r="BT68" i="8"/>
  <c r="BS68" i="8"/>
  <c r="BR68" i="8"/>
  <c r="BQ68" i="8"/>
  <c r="BO68" i="8"/>
  <c r="BN68" i="8"/>
  <c r="BM68" i="8"/>
  <c r="BL68" i="8"/>
  <c r="BJ68" i="8"/>
  <c r="BI68" i="8"/>
  <c r="BH68" i="8"/>
  <c r="BG68" i="8"/>
  <c r="BE68" i="8"/>
  <c r="BD68" i="8"/>
  <c r="BC68" i="8"/>
  <c r="BB68" i="8"/>
  <c r="AZ68" i="8"/>
  <c r="AY68" i="8"/>
  <c r="AX68" i="8"/>
  <c r="AW68" i="8"/>
  <c r="AU68" i="8"/>
  <c r="AT68" i="8"/>
  <c r="AS68" i="8"/>
  <c r="AR68" i="8"/>
  <c r="AP68" i="8"/>
  <c r="AO68" i="8"/>
  <c r="AN68" i="8"/>
  <c r="AM68" i="8"/>
  <c r="AK68" i="8"/>
  <c r="AJ68" i="8"/>
  <c r="AI68" i="8"/>
  <c r="AH68" i="8"/>
  <c r="AF68" i="8"/>
  <c r="AE68" i="8"/>
  <c r="AD68" i="8"/>
  <c r="AC68" i="8"/>
  <c r="AA68" i="8"/>
  <c r="Z68" i="8"/>
  <c r="Y68" i="8"/>
  <c r="X68" i="8"/>
  <c r="V68" i="8"/>
  <c r="U68" i="8"/>
  <c r="T68" i="8"/>
  <c r="S68" i="8"/>
  <c r="Q68" i="8"/>
  <c r="P68" i="8"/>
  <c r="O68" i="8"/>
  <c r="N68" i="8"/>
  <c r="BU67" i="8"/>
  <c r="BT67" i="8"/>
  <c r="BS67" i="8"/>
  <c r="BR67" i="8"/>
  <c r="BQ67" i="8"/>
  <c r="BP67" i="8"/>
  <c r="BO67" i="8"/>
  <c r="BN67" i="8"/>
  <c r="BM67" i="8"/>
  <c r="BL67" i="8"/>
  <c r="BK67" i="8"/>
  <c r="BJ67" i="8"/>
  <c r="BI67" i="8"/>
  <c r="BH67" i="8"/>
  <c r="BG67" i="8"/>
  <c r="BF67" i="8"/>
  <c r="BE67" i="8"/>
  <c r="BD67" i="8"/>
  <c r="BC67" i="8"/>
  <c r="BB67" i="8"/>
  <c r="BA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R67" i="8"/>
  <c r="Q67" i="8"/>
  <c r="P67" i="8"/>
  <c r="O67" i="8"/>
  <c r="N67" i="8"/>
  <c r="M67" i="8"/>
  <c r="BT66" i="8"/>
  <c r="BS66" i="8"/>
  <c r="BR66" i="8"/>
  <c r="BQ66" i="8"/>
  <c r="BP66" i="8"/>
  <c r="BO66" i="8"/>
  <c r="BN66" i="8"/>
  <c r="BM66" i="8"/>
  <c r="BL66" i="8"/>
  <c r="BK66" i="8"/>
  <c r="BJ66" i="8"/>
  <c r="BI66" i="8"/>
  <c r="BH66" i="8"/>
  <c r="BG66" i="8"/>
  <c r="BF66" i="8"/>
  <c r="BE66" i="8"/>
  <c r="BD66" i="8"/>
  <c r="BC66" i="8"/>
  <c r="BB66" i="8"/>
  <c r="BA66" i="8"/>
  <c r="AZ66" i="8"/>
  <c r="AY66" i="8"/>
  <c r="AX66"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R66" i="8"/>
  <c r="Q66" i="8"/>
  <c r="P66" i="8"/>
  <c r="O66" i="8"/>
  <c r="N66" i="8"/>
  <c r="M66" i="8"/>
  <c r="BU65" i="8"/>
  <c r="BT65" i="8"/>
  <c r="BS65" i="8"/>
  <c r="BR65" i="8"/>
  <c r="BQ65" i="8"/>
  <c r="BP65" i="8"/>
  <c r="BO65" i="8"/>
  <c r="BN65" i="8"/>
  <c r="BM65" i="8"/>
  <c r="BL65" i="8"/>
  <c r="BK65" i="8"/>
  <c r="BJ65" i="8"/>
  <c r="BI65" i="8"/>
  <c r="BH65" i="8"/>
  <c r="BG65" i="8"/>
  <c r="BF65" i="8"/>
  <c r="BE65" i="8"/>
  <c r="BD65" i="8"/>
  <c r="BC65" i="8"/>
  <c r="BB65" i="8"/>
  <c r="BA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R65" i="8"/>
  <c r="Q65" i="8"/>
  <c r="P65" i="8"/>
  <c r="O65" i="8"/>
  <c r="N65" i="8"/>
  <c r="M65" i="8"/>
  <c r="BT64" i="8"/>
  <c r="BS64" i="8"/>
  <c r="BR64" i="8"/>
  <c r="BQ64" i="8"/>
  <c r="BP64" i="8"/>
  <c r="BO64" i="8"/>
  <c r="BN64" i="8"/>
  <c r="BM64" i="8"/>
  <c r="BL64" i="8"/>
  <c r="BK64" i="8"/>
  <c r="BJ64" i="8"/>
  <c r="BI64" i="8"/>
  <c r="BH64" i="8"/>
  <c r="BG64" i="8"/>
  <c r="BE64" i="8"/>
  <c r="BD64" i="8"/>
  <c r="BC64" i="8"/>
  <c r="BB64" i="8"/>
  <c r="BA64" i="8"/>
  <c r="AZ64" i="8"/>
  <c r="AY64" i="8"/>
  <c r="AX64" i="8"/>
  <c r="AW64" i="8"/>
  <c r="AV64" i="8"/>
  <c r="AU64" i="8"/>
  <c r="AT64" i="8"/>
  <c r="AS64" i="8"/>
  <c r="AR64" i="8"/>
  <c r="AQ64" i="8"/>
  <c r="AP64" i="8"/>
  <c r="AO64" i="8"/>
  <c r="AN64" i="8"/>
  <c r="AM64" i="8"/>
  <c r="AL64" i="8"/>
  <c r="AK64" i="8"/>
  <c r="AJ64" i="8"/>
  <c r="AI64" i="8"/>
  <c r="AH64" i="8"/>
  <c r="AF64" i="8"/>
  <c r="AE64" i="8"/>
  <c r="AD64" i="8"/>
  <c r="AC64" i="8"/>
  <c r="AB64" i="8"/>
  <c r="AA64" i="8"/>
  <c r="Z64" i="8"/>
  <c r="Y64" i="8"/>
  <c r="X64" i="8"/>
  <c r="W64" i="8"/>
  <c r="V64" i="8"/>
  <c r="U64" i="8"/>
  <c r="T64" i="8"/>
  <c r="S64" i="8"/>
  <c r="R64" i="8"/>
  <c r="Q64" i="8"/>
  <c r="P64" i="8"/>
  <c r="O64" i="8"/>
  <c r="N64" i="8"/>
  <c r="M64" i="8"/>
  <c r="BU63" i="8"/>
  <c r="BT63" i="8"/>
  <c r="BS63" i="8"/>
  <c r="BR63" i="8"/>
  <c r="BQ63" i="8"/>
  <c r="BP63" i="8"/>
  <c r="BO63" i="8"/>
  <c r="BN63" i="8"/>
  <c r="BM63" i="8"/>
  <c r="BL63" i="8"/>
  <c r="BK63" i="8"/>
  <c r="BJ63" i="8"/>
  <c r="BI63" i="8"/>
  <c r="BH63" i="8"/>
  <c r="BG63" i="8"/>
  <c r="BF63" i="8"/>
  <c r="BE63" i="8"/>
  <c r="BD63" i="8"/>
  <c r="BC63" i="8"/>
  <c r="BB63" i="8"/>
  <c r="BA63" i="8"/>
  <c r="AZ63" i="8"/>
  <c r="AY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R63" i="8"/>
  <c r="Q63" i="8"/>
  <c r="P63" i="8"/>
  <c r="O63" i="8"/>
  <c r="N63" i="8"/>
  <c r="M63" i="8"/>
  <c r="BU62" i="8"/>
  <c r="BT62" i="8"/>
  <c r="BS62" i="8"/>
  <c r="BR62" i="8"/>
  <c r="BQ62" i="8"/>
  <c r="BP62" i="8"/>
  <c r="BO62" i="8"/>
  <c r="BN62" i="8"/>
  <c r="BM62" i="8"/>
  <c r="BL62" i="8"/>
  <c r="BK62" i="8"/>
  <c r="BJ62" i="8"/>
  <c r="BI62" i="8"/>
  <c r="BH62" i="8"/>
  <c r="BG62" i="8"/>
  <c r="BF62" i="8"/>
  <c r="BE62" i="8"/>
  <c r="BD62" i="8"/>
  <c r="BC62" i="8"/>
  <c r="BB62" i="8"/>
  <c r="BA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R62" i="8"/>
  <c r="Q62" i="8"/>
  <c r="P62" i="8"/>
  <c r="O62" i="8"/>
  <c r="N62" i="8"/>
  <c r="M62" i="8"/>
  <c r="BU61" i="8"/>
  <c r="BT61" i="8"/>
  <c r="BS61" i="8"/>
  <c r="BR61" i="8"/>
  <c r="BQ61" i="8"/>
  <c r="BP61" i="8"/>
  <c r="BO61" i="8"/>
  <c r="BN61" i="8"/>
  <c r="BM61" i="8"/>
  <c r="BL61" i="8"/>
  <c r="BK61" i="8"/>
  <c r="BJ61" i="8"/>
  <c r="BI61" i="8"/>
  <c r="BH61" i="8"/>
  <c r="BG61" i="8"/>
  <c r="BF61" i="8"/>
  <c r="BE61" i="8"/>
  <c r="BD61" i="8"/>
  <c r="BC61" i="8"/>
  <c r="BB61" i="8"/>
  <c r="BA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T61" i="8"/>
  <c r="S61" i="8"/>
  <c r="R61" i="8"/>
  <c r="Q61" i="8"/>
  <c r="P61" i="8"/>
  <c r="O61" i="8"/>
  <c r="N61" i="8"/>
  <c r="M61" i="8"/>
  <c r="BT60" i="8"/>
  <c r="BS60" i="8"/>
  <c r="BR60" i="8"/>
  <c r="BQ60" i="8"/>
  <c r="BP60" i="8"/>
  <c r="BO60" i="8"/>
  <c r="BN60" i="8"/>
  <c r="BM60" i="8"/>
  <c r="BL60" i="8"/>
  <c r="BK60" i="8"/>
  <c r="BJ60" i="8"/>
  <c r="BI60" i="8"/>
  <c r="BH60" i="8"/>
  <c r="BG60" i="8"/>
  <c r="BF60" i="8"/>
  <c r="BE60" i="8"/>
  <c r="BD60" i="8"/>
  <c r="BC60" i="8"/>
  <c r="BB60" i="8"/>
  <c r="BA60" i="8"/>
  <c r="AZ60" i="8"/>
  <c r="AY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R60" i="8"/>
  <c r="Q60" i="8"/>
  <c r="P60" i="8"/>
  <c r="O60" i="8"/>
  <c r="N60" i="8"/>
  <c r="M60" i="8"/>
  <c r="BT59" i="8"/>
  <c r="BS59" i="8"/>
  <c r="BR59" i="8"/>
  <c r="BQ59" i="8"/>
  <c r="BP59" i="8"/>
  <c r="BO59" i="8"/>
  <c r="BN59" i="8"/>
  <c r="BM59" i="8"/>
  <c r="BL59" i="8"/>
  <c r="BK59" i="8"/>
  <c r="BJ59" i="8"/>
  <c r="BI59" i="8"/>
  <c r="BH59" i="8"/>
  <c r="BG59" i="8"/>
  <c r="BF59" i="8"/>
  <c r="BE59" i="8"/>
  <c r="BD59" i="8"/>
  <c r="BC59" i="8"/>
  <c r="BB59" i="8"/>
  <c r="BA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R59" i="8"/>
  <c r="Q59" i="8"/>
  <c r="P59" i="8"/>
  <c r="O59" i="8"/>
  <c r="N59" i="8"/>
  <c r="M59" i="8"/>
  <c r="BT58" i="8"/>
  <c r="BS58" i="8"/>
  <c r="BR58" i="8"/>
  <c r="BQ58" i="8"/>
  <c r="BO58" i="8"/>
  <c r="BN58" i="8"/>
  <c r="BM58" i="8"/>
  <c r="BL58" i="8"/>
  <c r="BJ58" i="8"/>
  <c r="BI58" i="8"/>
  <c r="BH58" i="8"/>
  <c r="BG58" i="8"/>
  <c r="BE58" i="8"/>
  <c r="BD58" i="8"/>
  <c r="BC58" i="8"/>
  <c r="BB58" i="8"/>
  <c r="AZ58" i="8"/>
  <c r="AY58" i="8"/>
  <c r="AX58" i="8"/>
  <c r="AW58" i="8"/>
  <c r="AU58" i="8"/>
  <c r="AT58" i="8"/>
  <c r="AS58" i="8"/>
  <c r="AR58" i="8"/>
  <c r="AP58" i="8"/>
  <c r="AO58" i="8"/>
  <c r="AN58" i="8"/>
  <c r="AM58" i="8"/>
  <c r="AK58" i="8"/>
  <c r="AJ58" i="8"/>
  <c r="AI58" i="8"/>
  <c r="AH58" i="8"/>
  <c r="AF58" i="8"/>
  <c r="AE58" i="8"/>
  <c r="AD58" i="8"/>
  <c r="AC58" i="8"/>
  <c r="AA58" i="8"/>
  <c r="Z58" i="8"/>
  <c r="Y58" i="8"/>
  <c r="X58" i="8"/>
  <c r="V58" i="8"/>
  <c r="U58" i="8"/>
  <c r="T58" i="8"/>
  <c r="S58" i="8"/>
  <c r="Q58" i="8"/>
  <c r="P58" i="8"/>
  <c r="O58" i="8"/>
  <c r="N58" i="8"/>
  <c r="BU57" i="8"/>
  <c r="BT57" i="8"/>
  <c r="BS57" i="8"/>
  <c r="BR57" i="8"/>
  <c r="BQ57" i="8"/>
  <c r="BP57" i="8"/>
  <c r="BO57" i="8"/>
  <c r="BN57" i="8"/>
  <c r="BM57" i="8"/>
  <c r="BL57" i="8"/>
  <c r="BK57" i="8"/>
  <c r="BJ57" i="8"/>
  <c r="BI57" i="8"/>
  <c r="BH57" i="8"/>
  <c r="BG57" i="8"/>
  <c r="BF57" i="8"/>
  <c r="BE57" i="8"/>
  <c r="BD57" i="8"/>
  <c r="BC57" i="8"/>
  <c r="BB57" i="8"/>
  <c r="BA57" i="8"/>
  <c r="AZ57" i="8"/>
  <c r="AY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R57" i="8"/>
  <c r="Q57" i="8"/>
  <c r="P57" i="8"/>
  <c r="O57" i="8"/>
  <c r="N57" i="8"/>
  <c r="M57" i="8"/>
  <c r="BT56" i="8"/>
  <c r="BS56" i="8"/>
  <c r="BR56" i="8"/>
  <c r="BQ56" i="8"/>
  <c r="BO56" i="8"/>
  <c r="BN56" i="8"/>
  <c r="BM56" i="8"/>
  <c r="BL56" i="8"/>
  <c r="BJ56" i="8"/>
  <c r="BI56" i="8"/>
  <c r="BH56" i="8"/>
  <c r="BG56" i="8"/>
  <c r="BE56" i="8"/>
  <c r="BD56" i="8"/>
  <c r="BC56" i="8"/>
  <c r="BB56" i="8"/>
  <c r="AZ56" i="8"/>
  <c r="AY56" i="8"/>
  <c r="AX56" i="8"/>
  <c r="AW56" i="8"/>
  <c r="AU56" i="8"/>
  <c r="AT56" i="8"/>
  <c r="AS56" i="8"/>
  <c r="AR56" i="8"/>
  <c r="AP56" i="8"/>
  <c r="AO56" i="8"/>
  <c r="AN56" i="8"/>
  <c r="AM56" i="8"/>
  <c r="AK56" i="8"/>
  <c r="AJ56" i="8"/>
  <c r="AI56" i="8"/>
  <c r="AH56" i="8"/>
  <c r="AF56" i="8"/>
  <c r="AE56" i="8"/>
  <c r="AD56" i="8"/>
  <c r="AC56" i="8"/>
  <c r="AA56" i="8"/>
  <c r="Z56" i="8"/>
  <c r="Y56" i="8"/>
  <c r="X56" i="8"/>
  <c r="V56" i="8"/>
  <c r="U56" i="8"/>
  <c r="T56" i="8"/>
  <c r="S56" i="8"/>
  <c r="Q56" i="8"/>
  <c r="P56" i="8"/>
  <c r="O56" i="8"/>
  <c r="N56" i="8"/>
  <c r="M56" i="8"/>
  <c r="BT55" i="8"/>
  <c r="BS55" i="8"/>
  <c r="BR55" i="8"/>
  <c r="BQ55" i="8"/>
  <c r="BO55" i="8"/>
  <c r="BN55" i="8"/>
  <c r="BM55" i="8"/>
  <c r="BL55" i="8"/>
  <c r="BJ55" i="8"/>
  <c r="BI55" i="8"/>
  <c r="BH55" i="8"/>
  <c r="BG55" i="8"/>
  <c r="BE55" i="8"/>
  <c r="BD55" i="8"/>
  <c r="BC55" i="8"/>
  <c r="BB55" i="8"/>
  <c r="AZ55" i="8"/>
  <c r="AY55" i="8"/>
  <c r="AX55" i="8"/>
  <c r="AW55" i="8"/>
  <c r="AU55" i="8"/>
  <c r="AT55" i="8"/>
  <c r="AS55" i="8"/>
  <c r="AR55" i="8"/>
  <c r="AP55" i="8"/>
  <c r="AO55" i="8"/>
  <c r="AN55" i="8"/>
  <c r="AM55" i="8"/>
  <c r="AK55" i="8"/>
  <c r="AJ55" i="8"/>
  <c r="AI55" i="8"/>
  <c r="AH55" i="8"/>
  <c r="AF55" i="8"/>
  <c r="AE55" i="8"/>
  <c r="AD55" i="8"/>
  <c r="AC55" i="8"/>
  <c r="AA55" i="8"/>
  <c r="Z55" i="8"/>
  <c r="Y55" i="8"/>
  <c r="X55" i="8"/>
  <c r="V55" i="8"/>
  <c r="U55" i="8"/>
  <c r="T55" i="8"/>
  <c r="S55" i="8"/>
  <c r="Q55" i="8"/>
  <c r="P55" i="8"/>
  <c r="O55" i="8"/>
  <c r="N55" i="8"/>
  <c r="M55" i="8"/>
  <c r="BT54" i="8"/>
  <c r="BS54" i="8"/>
  <c r="BR54" i="8"/>
  <c r="BQ54" i="8"/>
  <c r="BO54" i="8"/>
  <c r="BN54" i="8"/>
  <c r="BM54" i="8"/>
  <c r="BL54" i="8"/>
  <c r="BJ54" i="8"/>
  <c r="BI54" i="8"/>
  <c r="BH54" i="8"/>
  <c r="BG54" i="8"/>
  <c r="BE54" i="8"/>
  <c r="BD54" i="8"/>
  <c r="BC54" i="8"/>
  <c r="BB54" i="8"/>
  <c r="AZ54" i="8"/>
  <c r="AY54" i="8"/>
  <c r="AX54" i="8"/>
  <c r="AW54" i="8"/>
  <c r="AU54" i="8"/>
  <c r="AT54" i="8"/>
  <c r="AS54" i="8"/>
  <c r="AR54" i="8"/>
  <c r="AP54" i="8"/>
  <c r="AO54" i="8"/>
  <c r="AN54" i="8"/>
  <c r="AM54" i="8"/>
  <c r="AK54" i="8"/>
  <c r="AJ54" i="8"/>
  <c r="AI54" i="8"/>
  <c r="AH54" i="8"/>
  <c r="AF54" i="8"/>
  <c r="AE54" i="8"/>
  <c r="AD54" i="8"/>
  <c r="AC54" i="8"/>
  <c r="AA54" i="8"/>
  <c r="Z54" i="8"/>
  <c r="Y54" i="8"/>
  <c r="X54" i="8"/>
  <c r="V54" i="8"/>
  <c r="U54" i="8"/>
  <c r="T54" i="8"/>
  <c r="S54" i="8"/>
  <c r="Q54" i="8"/>
  <c r="P54" i="8"/>
  <c r="O54" i="8"/>
  <c r="N54" i="8"/>
  <c r="BT53" i="8"/>
  <c r="BS53" i="8"/>
  <c r="BR53" i="8"/>
  <c r="BQ53" i="8"/>
  <c r="BO53" i="8"/>
  <c r="BN53" i="8"/>
  <c r="BM53" i="8"/>
  <c r="BL53" i="8"/>
  <c r="BJ53" i="8"/>
  <c r="BI53" i="8"/>
  <c r="BH53" i="8"/>
  <c r="BG53" i="8"/>
  <c r="BE53" i="8"/>
  <c r="BD53" i="8"/>
  <c r="BC53" i="8"/>
  <c r="BB53" i="8"/>
  <c r="AZ53" i="8"/>
  <c r="AY53" i="8"/>
  <c r="AX53" i="8"/>
  <c r="AW53" i="8"/>
  <c r="AU53" i="8"/>
  <c r="AT53" i="8"/>
  <c r="AS53" i="8"/>
  <c r="AR53" i="8"/>
  <c r="AP53" i="8"/>
  <c r="AO53" i="8"/>
  <c r="AN53" i="8"/>
  <c r="AM53" i="8"/>
  <c r="AK53" i="8"/>
  <c r="AJ53" i="8"/>
  <c r="AI53" i="8"/>
  <c r="AH53" i="8"/>
  <c r="AF53" i="8"/>
  <c r="AE53" i="8"/>
  <c r="AD53" i="8"/>
  <c r="AC53" i="8"/>
  <c r="AA53" i="8"/>
  <c r="Z53" i="8"/>
  <c r="Y53" i="8"/>
  <c r="X53" i="8"/>
  <c r="V53" i="8"/>
  <c r="U53" i="8"/>
  <c r="T53" i="8"/>
  <c r="S53" i="8"/>
  <c r="Q53" i="8"/>
  <c r="P53" i="8"/>
  <c r="O53" i="8"/>
  <c r="N53" i="8"/>
  <c r="DX38" i="8"/>
  <c r="DS38" i="8"/>
  <c r="DN38" i="8"/>
  <c r="DI38" i="8"/>
  <c r="DD38" i="8"/>
  <c r="CY38" i="8"/>
  <c r="CT38" i="8"/>
  <c r="CO38" i="8"/>
  <c r="CJ38" i="8"/>
  <c r="CJ51" i="8" s="1"/>
  <c r="CJ52" i="8" s="1"/>
  <c r="CE38" i="8"/>
  <c r="CE52" i="8" s="1"/>
  <c r="CJ54" i="8" s="1"/>
  <c r="BZ38" i="8"/>
  <c r="DI49" i="8"/>
  <c r="BP38" i="8"/>
  <c r="BP79" i="8" s="1"/>
  <c r="BK38" i="8"/>
  <c r="BK79" i="8" s="1"/>
  <c r="BF38" i="8"/>
  <c r="BF79" i="8" s="1"/>
  <c r="BA38" i="8"/>
  <c r="AV38" i="8"/>
  <c r="AQ38" i="8"/>
  <c r="AQ79" i="8" s="1"/>
  <c r="AL38" i="8"/>
  <c r="AL79" i="8" s="1"/>
  <c r="AG38" i="8"/>
  <c r="AB38" i="8"/>
  <c r="W38" i="8"/>
  <c r="W79" i="8" s="1"/>
  <c r="R38" i="8"/>
  <c r="R79" i="8" s="1"/>
  <c r="M38" i="8"/>
  <c r="BU34" i="8"/>
  <c r="BU75" i="8" s="1"/>
  <c r="BU33" i="8"/>
  <c r="BU74" i="8" s="1"/>
  <c r="DX32" i="8"/>
  <c r="DS32" i="8"/>
  <c r="DN32" i="8"/>
  <c r="DI32" i="8"/>
  <c r="DD32" i="8"/>
  <c r="CY32" i="8"/>
  <c r="CT32" i="8"/>
  <c r="CO32" i="8"/>
  <c r="CJ32" i="8"/>
  <c r="CE32" i="8"/>
  <c r="BZ32" i="8"/>
  <c r="BP32" i="8"/>
  <c r="BP73" i="8" s="1"/>
  <c r="BK32" i="8"/>
  <c r="BK73" i="8" s="1"/>
  <c r="BF32" i="8"/>
  <c r="BF73" i="8" s="1"/>
  <c r="BA32" i="8"/>
  <c r="AV32" i="8"/>
  <c r="AQ32" i="8"/>
  <c r="AQ73" i="8" s="1"/>
  <c r="AL32" i="8"/>
  <c r="AG32" i="8"/>
  <c r="AG73" i="8" s="1"/>
  <c r="AB32" i="8"/>
  <c r="AB73" i="8" s="1"/>
  <c r="W32" i="8"/>
  <c r="R32" i="8"/>
  <c r="M32" i="8"/>
  <c r="M73" i="8" s="1"/>
  <c r="H32" i="8"/>
  <c r="BU29" i="8"/>
  <c r="BU70" i="8" s="1"/>
  <c r="BU28" i="8"/>
  <c r="BU69" i="8" s="1"/>
  <c r="H28" i="8"/>
  <c r="H27" i="8" s="1"/>
  <c r="DX27" i="8"/>
  <c r="DS27" i="8"/>
  <c r="DN27" i="8"/>
  <c r="DI27" i="8"/>
  <c r="DD27" i="8"/>
  <c r="CY27" i="8"/>
  <c r="CT27" i="8"/>
  <c r="CO27" i="8"/>
  <c r="CJ27" i="8"/>
  <c r="CE27" i="8"/>
  <c r="BZ27" i="8"/>
  <c r="BP27" i="8"/>
  <c r="BP68" i="8" s="1"/>
  <c r="BK27" i="8"/>
  <c r="BK68" i="8" s="1"/>
  <c r="BF27" i="8"/>
  <c r="BA27" i="8"/>
  <c r="BA68" i="8" s="1"/>
  <c r="AV27" i="8"/>
  <c r="AV68" i="8" s="1"/>
  <c r="AQ27" i="8"/>
  <c r="AQ68" i="8" s="1"/>
  <c r="AL27" i="8"/>
  <c r="AG27" i="8"/>
  <c r="AG68" i="8" s="1"/>
  <c r="AB27" i="8"/>
  <c r="W27" i="8"/>
  <c r="W68" i="8" s="1"/>
  <c r="R27" i="8"/>
  <c r="R68" i="8" s="1"/>
  <c r="M27" i="8"/>
  <c r="M68" i="8" s="1"/>
  <c r="BU25" i="8"/>
  <c r="BU66" i="8" s="1"/>
  <c r="DS23" i="8"/>
  <c r="BF64" i="8" s="1"/>
  <c r="CT23" i="8"/>
  <c r="AG64" i="8" s="1"/>
  <c r="BU23" i="8"/>
  <c r="BU64" i="8" s="1"/>
  <c r="BU19" i="8"/>
  <c r="BU60" i="8" s="1"/>
  <c r="BU18" i="8"/>
  <c r="DX17" i="8"/>
  <c r="DS17" i="8"/>
  <c r="DN17" i="8"/>
  <c r="DI17" i="8"/>
  <c r="DD17" i="8"/>
  <c r="CY17" i="8"/>
  <c r="CT17" i="8"/>
  <c r="CO17" i="8"/>
  <c r="CJ17" i="8"/>
  <c r="CE17" i="8"/>
  <c r="BZ17" i="8"/>
  <c r="BP17" i="8"/>
  <c r="BP58" i="8" s="1"/>
  <c r="BK17" i="8"/>
  <c r="BK58" i="8" s="1"/>
  <c r="BF17" i="8"/>
  <c r="BA17" i="8"/>
  <c r="BA58" i="8" s="1"/>
  <c r="AV17" i="8"/>
  <c r="AV58" i="8" s="1"/>
  <c r="AQ17" i="8"/>
  <c r="AQ58" i="8" s="1"/>
  <c r="AL17" i="8"/>
  <c r="AG17" i="8"/>
  <c r="AG58" i="8" s="1"/>
  <c r="AB17" i="8"/>
  <c r="W17" i="8"/>
  <c r="W58" i="8" s="1"/>
  <c r="R17" i="8"/>
  <c r="R58" i="8" s="1"/>
  <c r="M17" i="8"/>
  <c r="H17" i="8"/>
  <c r="DX15" i="8"/>
  <c r="DS15" i="8"/>
  <c r="DN15" i="8"/>
  <c r="DI15" i="8"/>
  <c r="DD15" i="8"/>
  <c r="CY15" i="8"/>
  <c r="CT15" i="8"/>
  <c r="CO15" i="8"/>
  <c r="CJ15" i="8"/>
  <c r="CE15" i="8"/>
  <c r="BU15" i="8"/>
  <c r="BU56" i="8" s="1"/>
  <c r="BP15" i="8"/>
  <c r="BP56" i="8" s="1"/>
  <c r="BK15" i="8"/>
  <c r="BK56" i="8" s="1"/>
  <c r="BF15" i="8"/>
  <c r="BF56" i="8" s="1"/>
  <c r="BA15" i="8"/>
  <c r="AV15" i="8"/>
  <c r="AQ15" i="8"/>
  <c r="AQ56" i="8" s="1"/>
  <c r="AL15" i="8"/>
  <c r="AL56" i="8" s="1"/>
  <c r="AG15" i="8"/>
  <c r="AG56" i="8" s="1"/>
  <c r="AB15" i="8"/>
  <c r="AB56" i="8" s="1"/>
  <c r="W15" i="8"/>
  <c r="R15" i="8"/>
  <c r="DX14" i="8"/>
  <c r="DX13" i="8" s="1"/>
  <c r="DX12" i="8" s="1"/>
  <c r="DX40" i="8" s="1"/>
  <c r="DS14" i="8"/>
  <c r="DS13" i="8" s="1"/>
  <c r="DS12" i="8" s="1"/>
  <c r="DN14" i="8"/>
  <c r="DI14" i="8"/>
  <c r="DD14" i="8"/>
  <c r="DD13" i="8" s="1"/>
  <c r="DD12" i="8" s="1"/>
  <c r="DD40" i="8" s="1"/>
  <c r="CY14" i="8"/>
  <c r="CT14" i="8"/>
  <c r="CT13" i="8" s="1"/>
  <c r="CT12" i="8" s="1"/>
  <c r="CO14" i="8"/>
  <c r="CO13" i="8" s="1"/>
  <c r="CO12" i="8" s="1"/>
  <c r="CO40" i="8" s="1"/>
  <c r="CJ14" i="8"/>
  <c r="CE14" i="8"/>
  <c r="BU14" i="8"/>
  <c r="BU55" i="8" s="1"/>
  <c r="BP14" i="8"/>
  <c r="BP55" i="8" s="1"/>
  <c r="BK14" i="8"/>
  <c r="BK55" i="8" s="1"/>
  <c r="BF14" i="8"/>
  <c r="BF55" i="8" s="1"/>
  <c r="BA14" i="8"/>
  <c r="BA55" i="8" s="1"/>
  <c r="AV14" i="8"/>
  <c r="AV55" i="8" s="1"/>
  <c r="AQ14" i="8"/>
  <c r="AQ55" i="8" s="1"/>
  <c r="AL14" i="8"/>
  <c r="AL55" i="8" s="1"/>
  <c r="AG14" i="8"/>
  <c r="AG55" i="8" s="1"/>
  <c r="AB14" i="8"/>
  <c r="AB55" i="8" s="1"/>
  <c r="W14" i="8"/>
  <c r="W55" i="8" s="1"/>
  <c r="R14" i="8"/>
  <c r="R55" i="8" s="1"/>
  <c r="DN13" i="8"/>
  <c r="DN12" i="8" s="1"/>
  <c r="DI13" i="8"/>
  <c r="DI12" i="8" s="1"/>
  <c r="DI40" i="8" s="1"/>
  <c r="BZ13" i="8"/>
  <c r="BF13" i="8"/>
  <c r="BF54" i="8" s="1"/>
  <c r="AG13" i="8"/>
  <c r="AG12" i="8" s="1"/>
  <c r="M13" i="8"/>
  <c r="M12" i="8" s="1"/>
  <c r="H13" i="8"/>
  <c r="H12" i="8" s="1"/>
  <c r="H9" i="8"/>
  <c r="H8" i="8"/>
  <c r="BT185" i="9"/>
  <c r="BT184" i="9"/>
  <c r="BT183" i="9" s="1"/>
  <c r="BO183" i="9"/>
  <c r="BJ183" i="9"/>
  <c r="BE183" i="9"/>
  <c r="AZ183" i="9"/>
  <c r="AU183" i="9"/>
  <c r="AP183" i="9"/>
  <c r="AK183" i="9"/>
  <c r="AF183" i="9"/>
  <c r="AA183" i="9"/>
  <c r="V183" i="9"/>
  <c r="Q183" i="9"/>
  <c r="L183" i="9"/>
  <c r="G183" i="9"/>
  <c r="BT181" i="9"/>
  <c r="BT179" i="9" s="1"/>
  <c r="BT180" i="9"/>
  <c r="BO179" i="9"/>
  <c r="BJ179" i="9"/>
  <c r="BE179" i="9"/>
  <c r="AZ179" i="9"/>
  <c r="AU179" i="9"/>
  <c r="AP179" i="9"/>
  <c r="AK179" i="9"/>
  <c r="AF179" i="9"/>
  <c r="AA179" i="9"/>
  <c r="V179" i="9"/>
  <c r="Q179" i="9"/>
  <c r="L179" i="9"/>
  <c r="G179" i="9"/>
  <c r="BT177" i="9"/>
  <c r="BT176" i="9"/>
  <c r="BT175" i="9" s="1"/>
  <c r="BO175" i="9"/>
  <c r="BJ175" i="9"/>
  <c r="BE175" i="9"/>
  <c r="AZ175" i="9"/>
  <c r="AU175" i="9"/>
  <c r="AP175" i="9"/>
  <c r="AK175" i="9"/>
  <c r="AF175" i="9"/>
  <c r="AA175" i="9"/>
  <c r="V175" i="9"/>
  <c r="Q175" i="9"/>
  <c r="L175" i="9"/>
  <c r="G175" i="9"/>
  <c r="BT173" i="9"/>
  <c r="BT172" i="9"/>
  <c r="BO171" i="9"/>
  <c r="BJ171" i="9"/>
  <c r="BE171" i="9"/>
  <c r="AZ171" i="9"/>
  <c r="AU171" i="9"/>
  <c r="AP171" i="9"/>
  <c r="AK171" i="9"/>
  <c r="AF171" i="9"/>
  <c r="AA171" i="9"/>
  <c r="V171" i="9"/>
  <c r="Q171" i="9"/>
  <c r="L171" i="9"/>
  <c r="BO169" i="9"/>
  <c r="BJ169" i="9"/>
  <c r="BE169" i="9"/>
  <c r="AZ169" i="9"/>
  <c r="AU169" i="9"/>
  <c r="AU167" i="9" s="1"/>
  <c r="AP169" i="9"/>
  <c r="AK169" i="9"/>
  <c r="AF169" i="9"/>
  <c r="AA169" i="9"/>
  <c r="V169" i="9"/>
  <c r="Q169" i="9"/>
  <c r="L169" i="9"/>
  <c r="BO168" i="9"/>
  <c r="BJ168" i="9"/>
  <c r="BE168" i="9"/>
  <c r="BE167" i="9" s="1"/>
  <c r="AZ168" i="9"/>
  <c r="AU168" i="9"/>
  <c r="AP168" i="9"/>
  <c r="AK168" i="9"/>
  <c r="AF168" i="9"/>
  <c r="AA168" i="9"/>
  <c r="V168" i="9"/>
  <c r="Q168" i="9"/>
  <c r="L168" i="9"/>
  <c r="BT165" i="9"/>
  <c r="BT164" i="9"/>
  <c r="BT156" i="9" s="1"/>
  <c r="BO163" i="9"/>
  <c r="BJ163" i="9"/>
  <c r="BE163" i="9"/>
  <c r="AZ163" i="9"/>
  <c r="AU163" i="9"/>
  <c r="AP163" i="9"/>
  <c r="AK163" i="9"/>
  <c r="AF163" i="9"/>
  <c r="AA163" i="9"/>
  <c r="V163" i="9"/>
  <c r="Q163" i="9"/>
  <c r="L163" i="9"/>
  <c r="BT161" i="9"/>
  <c r="BT160" i="9"/>
  <c r="BO159" i="9"/>
  <c r="BJ159" i="9"/>
  <c r="BE159" i="9"/>
  <c r="AZ159" i="9"/>
  <c r="AU159" i="9"/>
  <c r="AP159" i="9"/>
  <c r="AK159" i="9"/>
  <c r="AF159" i="9"/>
  <c r="AA159" i="9"/>
  <c r="V159" i="9"/>
  <c r="Q159" i="9"/>
  <c r="L159" i="9"/>
  <c r="BO157" i="9"/>
  <c r="BJ157" i="9"/>
  <c r="BE157" i="9"/>
  <c r="AZ157" i="9"/>
  <c r="AU157" i="9"/>
  <c r="AK157" i="9"/>
  <c r="AF157" i="9"/>
  <c r="AA157" i="9"/>
  <c r="V157" i="9"/>
  <c r="Q157" i="9"/>
  <c r="L157" i="9"/>
  <c r="BO156" i="9"/>
  <c r="BJ156" i="9"/>
  <c r="BE156" i="9"/>
  <c r="AZ156" i="9"/>
  <c r="AZ155" i="9" s="1"/>
  <c r="AU156" i="9"/>
  <c r="AU155" i="9" s="1"/>
  <c r="AU104" i="9" s="1"/>
  <c r="AK156" i="9"/>
  <c r="AF156" i="9"/>
  <c r="AA156" i="9"/>
  <c r="V156" i="9"/>
  <c r="Q156" i="9"/>
  <c r="L156" i="9"/>
  <c r="L155" i="9" s="1"/>
  <c r="AP155" i="9"/>
  <c r="G155" i="9"/>
  <c r="G104" i="9" s="1"/>
  <c r="BT153" i="9"/>
  <c r="BT152" i="9"/>
  <c r="BO151" i="9"/>
  <c r="BJ151" i="9"/>
  <c r="BE151" i="9"/>
  <c r="AZ151" i="9"/>
  <c r="AU151" i="9"/>
  <c r="AP151" i="9"/>
  <c r="AK151" i="9"/>
  <c r="AF151" i="9"/>
  <c r="AA151" i="9"/>
  <c r="V151" i="9"/>
  <c r="Q151" i="9"/>
  <c r="L151" i="9"/>
  <c r="G151" i="9"/>
  <c r="BT149" i="9"/>
  <c r="BT148" i="9"/>
  <c r="BT147" i="9" s="1"/>
  <c r="BO147" i="9"/>
  <c r="BJ147" i="9"/>
  <c r="BE147" i="9"/>
  <c r="AZ147" i="9"/>
  <c r="AU147" i="9"/>
  <c r="AP147" i="9"/>
  <c r="AK147" i="9"/>
  <c r="AF147" i="9"/>
  <c r="AA147" i="9"/>
  <c r="V147" i="9"/>
  <c r="Q147" i="9"/>
  <c r="L147" i="9"/>
  <c r="G147" i="9"/>
  <c r="BT145" i="9"/>
  <c r="BT144" i="9"/>
  <c r="BT143" i="9" s="1"/>
  <c r="BO143" i="9"/>
  <c r="BJ143" i="9"/>
  <c r="BE143" i="9"/>
  <c r="AZ143" i="9"/>
  <c r="AU143" i="9"/>
  <c r="AP143" i="9"/>
  <c r="AK143" i="9"/>
  <c r="AF143" i="9"/>
  <c r="AA143" i="9"/>
  <c r="V143" i="9"/>
  <c r="Q143" i="9"/>
  <c r="L143" i="9"/>
  <c r="G143" i="9"/>
  <c r="BT141" i="9"/>
  <c r="BT140" i="9"/>
  <c r="BT139" i="9" s="1"/>
  <c r="BO139" i="9"/>
  <c r="BJ139" i="9"/>
  <c r="BE139" i="9"/>
  <c r="AZ139" i="9"/>
  <c r="AU139" i="9"/>
  <c r="AP139" i="9"/>
  <c r="AK139" i="9"/>
  <c r="AF139" i="9"/>
  <c r="AA139" i="9"/>
  <c r="V139" i="9"/>
  <c r="Q139" i="9"/>
  <c r="L139" i="9"/>
  <c r="G139" i="9"/>
  <c r="BT137" i="9"/>
  <c r="BT136" i="9"/>
  <c r="BO135" i="9"/>
  <c r="BJ135" i="9"/>
  <c r="BE135" i="9"/>
  <c r="AZ135" i="9"/>
  <c r="AU135" i="9"/>
  <c r="AP135" i="9"/>
  <c r="AK135" i="9"/>
  <c r="AF135" i="9"/>
  <c r="AA135" i="9"/>
  <c r="V135" i="9"/>
  <c r="Q135" i="9"/>
  <c r="L135" i="9"/>
  <c r="G135" i="9"/>
  <c r="BT133" i="9"/>
  <c r="BT132" i="9"/>
  <c r="BO131" i="9"/>
  <c r="BJ131" i="9"/>
  <c r="BE131" i="9"/>
  <c r="AZ131" i="9"/>
  <c r="AU131" i="9"/>
  <c r="AP131" i="9"/>
  <c r="AK131" i="9"/>
  <c r="AF131" i="9"/>
  <c r="AA131" i="9"/>
  <c r="V131" i="9"/>
  <c r="Q131" i="9"/>
  <c r="L131" i="9"/>
  <c r="G131" i="9"/>
  <c r="BT129" i="9"/>
  <c r="BT128" i="9"/>
  <c r="BO127" i="9"/>
  <c r="BJ127" i="9"/>
  <c r="BE127" i="9"/>
  <c r="AZ127" i="9"/>
  <c r="AU127" i="9"/>
  <c r="AP127" i="9"/>
  <c r="AK127" i="9"/>
  <c r="AF127" i="9"/>
  <c r="AA127" i="9"/>
  <c r="V127" i="9"/>
  <c r="Q127" i="9"/>
  <c r="L127" i="9"/>
  <c r="BT125" i="9"/>
  <c r="BT124" i="9"/>
  <c r="BO123" i="9"/>
  <c r="BJ123" i="9"/>
  <c r="BE123" i="9"/>
  <c r="AZ123" i="9"/>
  <c r="AU123" i="9"/>
  <c r="AP123" i="9"/>
  <c r="AK123" i="9"/>
  <c r="AF123" i="9"/>
  <c r="AA123" i="9"/>
  <c r="V123" i="9"/>
  <c r="Q123" i="9"/>
  <c r="L123" i="9"/>
  <c r="BT121" i="9"/>
  <c r="BT120" i="9"/>
  <c r="BO119" i="9"/>
  <c r="BJ119" i="9"/>
  <c r="BE119" i="9"/>
  <c r="AZ119" i="9"/>
  <c r="AU119" i="9"/>
  <c r="AP119" i="9"/>
  <c r="AK119" i="9"/>
  <c r="AF119" i="9"/>
  <c r="AA119" i="9"/>
  <c r="V119" i="9"/>
  <c r="Q119" i="9"/>
  <c r="L119" i="9"/>
  <c r="G119" i="9"/>
  <c r="BT117" i="9"/>
  <c r="BT116" i="9"/>
  <c r="BO115" i="9"/>
  <c r="BJ115" i="9"/>
  <c r="BE115" i="9"/>
  <c r="AZ115" i="9"/>
  <c r="AU115" i="9"/>
  <c r="AP115" i="9"/>
  <c r="AK115" i="9"/>
  <c r="AF115" i="9"/>
  <c r="AA115" i="9"/>
  <c r="V115" i="9"/>
  <c r="Q115" i="9"/>
  <c r="L115" i="9"/>
  <c r="G115" i="9"/>
  <c r="BT113" i="9"/>
  <c r="BT112" i="9"/>
  <c r="BT111" i="9" s="1"/>
  <c r="BO111" i="9"/>
  <c r="BJ111" i="9"/>
  <c r="BE111" i="9"/>
  <c r="AZ111" i="9"/>
  <c r="AU111" i="9"/>
  <c r="AP111" i="9"/>
  <c r="AK111" i="9"/>
  <c r="AF111" i="9"/>
  <c r="AA111" i="9"/>
  <c r="V111" i="9"/>
  <c r="Q111" i="9"/>
  <c r="L111" i="9"/>
  <c r="G111" i="9"/>
  <c r="BJ109" i="9"/>
  <c r="BE109" i="9"/>
  <c r="AZ109" i="9"/>
  <c r="AU109" i="9"/>
  <c r="AP109" i="9"/>
  <c r="AK109" i="9"/>
  <c r="AF109" i="9"/>
  <c r="AA109" i="9"/>
  <c r="V109" i="9"/>
  <c r="Q109" i="9"/>
  <c r="L109" i="9"/>
  <c r="G109" i="9"/>
  <c r="BJ108" i="9"/>
  <c r="BE108" i="9"/>
  <c r="AZ108" i="9"/>
  <c r="AU108" i="9"/>
  <c r="AP108" i="9"/>
  <c r="AK108" i="9"/>
  <c r="AF108" i="9"/>
  <c r="AA108" i="9"/>
  <c r="V108" i="9"/>
  <c r="Q108" i="9"/>
  <c r="L108" i="9"/>
  <c r="G108" i="9"/>
  <c r="G107" i="9" s="1"/>
  <c r="G103" i="9" s="1"/>
  <c r="BO107" i="9"/>
  <c r="G105" i="9"/>
  <c r="AP104" i="9"/>
  <c r="BT100" i="9"/>
  <c r="BT99" i="9"/>
  <c r="BT98" i="9"/>
  <c r="BO97" i="9"/>
  <c r="BJ97" i="9"/>
  <c r="BE97" i="9"/>
  <c r="AZ97" i="9"/>
  <c r="AU97" i="9"/>
  <c r="AP97" i="9"/>
  <c r="AK97" i="9"/>
  <c r="AF97" i="9"/>
  <c r="AA97" i="9"/>
  <c r="V97" i="9"/>
  <c r="Q97" i="9"/>
  <c r="L97" i="9"/>
  <c r="BT95" i="9"/>
  <c r="BT94" i="9"/>
  <c r="BT93" i="9"/>
  <c r="BO92" i="9"/>
  <c r="BJ92" i="9"/>
  <c r="BE92" i="9"/>
  <c r="AZ92" i="9"/>
  <c r="AU92" i="9"/>
  <c r="AP92" i="9"/>
  <c r="AK92" i="9"/>
  <c r="AF92" i="9"/>
  <c r="AA92" i="9"/>
  <c r="V92" i="9"/>
  <c r="Q92" i="9"/>
  <c r="L92" i="9"/>
  <c r="BT90" i="9"/>
  <c r="BT89" i="9"/>
  <c r="BT88" i="9"/>
  <c r="BO87" i="9"/>
  <c r="BJ87" i="9"/>
  <c r="BE87" i="9"/>
  <c r="AZ87" i="9"/>
  <c r="AU87" i="9"/>
  <c r="AP87" i="9"/>
  <c r="AK87" i="9"/>
  <c r="AF87" i="9"/>
  <c r="AA87" i="9"/>
  <c r="V87" i="9"/>
  <c r="Q87" i="9"/>
  <c r="L87" i="9"/>
  <c r="BT85" i="9"/>
  <c r="BT84" i="9"/>
  <c r="BT83" i="9"/>
  <c r="BO82" i="9"/>
  <c r="BJ82" i="9"/>
  <c r="BE82" i="9"/>
  <c r="AZ82" i="9"/>
  <c r="AU82" i="9"/>
  <c r="AP82" i="9"/>
  <c r="AK82" i="9"/>
  <c r="AF82" i="9"/>
  <c r="AA82" i="9"/>
  <c r="V82" i="9"/>
  <c r="Q82" i="9"/>
  <c r="L82" i="9"/>
  <c r="BT80" i="9"/>
  <c r="BT75" i="9" s="1"/>
  <c r="BT79" i="9"/>
  <c r="BT78" i="9"/>
  <c r="BO77" i="9"/>
  <c r="BJ77" i="9"/>
  <c r="BE77" i="9"/>
  <c r="AZ77" i="9"/>
  <c r="AU77" i="9"/>
  <c r="AP77" i="9"/>
  <c r="AK77" i="9"/>
  <c r="AF77" i="9"/>
  <c r="AA77" i="9"/>
  <c r="V77" i="9"/>
  <c r="Q77" i="9"/>
  <c r="L77" i="9"/>
  <c r="BO75" i="9"/>
  <c r="BJ75" i="9"/>
  <c r="BE75" i="9"/>
  <c r="AZ75" i="9"/>
  <c r="AU75" i="9"/>
  <c r="AP75" i="9"/>
  <c r="AK75" i="9"/>
  <c r="AF75" i="9"/>
  <c r="AA75" i="9"/>
  <c r="V75" i="9"/>
  <c r="Q75" i="9"/>
  <c r="L75" i="9"/>
  <c r="BT74" i="9"/>
  <c r="BO74" i="9"/>
  <c r="BJ74" i="9"/>
  <c r="BE74" i="9"/>
  <c r="AZ74" i="9"/>
  <c r="AU74" i="9"/>
  <c r="AP74" i="9"/>
  <c r="AK74" i="9"/>
  <c r="AF74" i="9"/>
  <c r="AA74" i="9"/>
  <c r="V74" i="9"/>
  <c r="Q74" i="9"/>
  <c r="L74" i="9"/>
  <c r="BO73" i="9"/>
  <c r="BJ73" i="9"/>
  <c r="BE73" i="9"/>
  <c r="AZ73" i="9"/>
  <c r="AU73" i="9"/>
  <c r="AP73" i="9"/>
  <c r="AK73" i="9"/>
  <c r="AF73" i="9"/>
  <c r="AA73" i="9"/>
  <c r="V73" i="9"/>
  <c r="Q73" i="9"/>
  <c r="L73" i="9"/>
  <c r="L72" i="9" s="1"/>
  <c r="L15" i="9" s="1"/>
  <c r="BT70" i="9"/>
  <c r="BT69" i="9"/>
  <c r="BT68" i="9"/>
  <c r="BT67" i="9" s="1"/>
  <c r="BO67" i="9"/>
  <c r="BJ67" i="9"/>
  <c r="BE67" i="9"/>
  <c r="AZ67" i="9"/>
  <c r="AU67" i="9"/>
  <c r="AP67" i="9"/>
  <c r="AK67" i="9"/>
  <c r="AF67" i="9"/>
  <c r="AA67" i="9"/>
  <c r="V67" i="9"/>
  <c r="Q67" i="9"/>
  <c r="L67" i="9"/>
  <c r="BT65" i="9"/>
  <c r="BO65" i="9"/>
  <c r="BJ65" i="9"/>
  <c r="BE65" i="9"/>
  <c r="AZ65" i="9"/>
  <c r="AU65" i="9"/>
  <c r="AP65" i="9"/>
  <c r="AK65" i="9"/>
  <c r="AF65" i="9"/>
  <c r="AA65" i="9"/>
  <c r="V65" i="9"/>
  <c r="Q65" i="9"/>
  <c r="L65" i="9"/>
  <c r="BO64" i="9"/>
  <c r="BO62" i="9" s="1"/>
  <c r="BJ64" i="9"/>
  <c r="BE64" i="9"/>
  <c r="AZ64" i="9"/>
  <c r="AU64" i="9"/>
  <c r="AP64" i="9"/>
  <c r="AK64" i="9"/>
  <c r="AF64" i="9"/>
  <c r="AA64" i="9"/>
  <c r="V64" i="9"/>
  <c r="Q64" i="9"/>
  <c r="L64" i="9"/>
  <c r="BT63" i="9"/>
  <c r="BO63" i="9"/>
  <c r="BJ63" i="9"/>
  <c r="BE63" i="9"/>
  <c r="AZ63" i="9"/>
  <c r="AU63" i="9"/>
  <c r="AP63" i="9"/>
  <c r="AK63" i="9"/>
  <c r="AF63" i="9"/>
  <c r="AA63" i="9"/>
  <c r="V63" i="9"/>
  <c r="Q63" i="9"/>
  <c r="L63" i="9"/>
  <c r="BJ62" i="9"/>
  <c r="G62" i="9"/>
  <c r="G14" i="9" s="1"/>
  <c r="BT60" i="9"/>
  <c r="BT59" i="9"/>
  <c r="BT58" i="9"/>
  <c r="BO57" i="9"/>
  <c r="BJ57" i="9"/>
  <c r="BE57" i="9"/>
  <c r="AZ57" i="9"/>
  <c r="AZ18" i="9" s="1"/>
  <c r="AU57" i="9"/>
  <c r="AU18" i="9" s="1"/>
  <c r="AP57" i="9"/>
  <c r="AK57" i="9"/>
  <c r="AF57" i="9"/>
  <c r="AA57" i="9"/>
  <c r="V57" i="9"/>
  <c r="Q57" i="9"/>
  <c r="L57" i="9"/>
  <c r="L18" i="9" s="1"/>
  <c r="L17" i="9" s="1"/>
  <c r="BT55" i="9"/>
  <c r="BT54" i="9"/>
  <c r="BT53" i="9"/>
  <c r="BO52" i="9"/>
  <c r="BJ52" i="9"/>
  <c r="BE52" i="9"/>
  <c r="AZ52" i="9"/>
  <c r="AU52" i="9"/>
  <c r="AP52" i="9"/>
  <c r="AK52" i="9"/>
  <c r="AF52" i="9"/>
  <c r="AA52" i="9"/>
  <c r="V52" i="9"/>
  <c r="Q52" i="9"/>
  <c r="L52" i="9"/>
  <c r="BT50" i="9"/>
  <c r="BT49" i="9"/>
  <c r="BT48" i="9"/>
  <c r="BO47" i="9"/>
  <c r="BJ47" i="9"/>
  <c r="BE47" i="9"/>
  <c r="AZ47" i="9"/>
  <c r="AU47" i="9"/>
  <c r="AP47" i="9"/>
  <c r="AK47" i="9"/>
  <c r="AF47" i="9"/>
  <c r="AA47" i="9"/>
  <c r="V47" i="9"/>
  <c r="Q47" i="9"/>
  <c r="L47" i="9"/>
  <c r="BT45" i="9"/>
  <c r="BT44" i="9"/>
  <c r="BT43" i="9"/>
  <c r="BO42" i="9"/>
  <c r="BJ42" i="9"/>
  <c r="BE42" i="9"/>
  <c r="AZ42" i="9"/>
  <c r="AU42" i="9"/>
  <c r="AP42" i="9"/>
  <c r="AK42" i="9"/>
  <c r="AF42" i="9"/>
  <c r="AA42" i="9"/>
  <c r="V42" i="9"/>
  <c r="Q42" i="9"/>
  <c r="L42" i="9"/>
  <c r="BT40" i="9"/>
  <c r="BT39" i="9"/>
  <c r="BT38" i="9"/>
  <c r="BO37" i="9"/>
  <c r="BJ37" i="9"/>
  <c r="BE37" i="9"/>
  <c r="AZ37" i="9"/>
  <c r="AU37" i="9"/>
  <c r="AP37" i="9"/>
  <c r="AK37" i="9"/>
  <c r="AF37" i="9"/>
  <c r="AA37" i="9"/>
  <c r="V37" i="9"/>
  <c r="Q37" i="9"/>
  <c r="L37" i="9"/>
  <c r="BT35" i="9"/>
  <c r="BT34" i="9"/>
  <c r="BT32" i="9" s="1"/>
  <c r="BT33" i="9"/>
  <c r="BO32" i="9"/>
  <c r="BJ32" i="9"/>
  <c r="BE32" i="9"/>
  <c r="AZ32" i="9"/>
  <c r="AU32" i="9"/>
  <c r="AP32" i="9"/>
  <c r="AK32" i="9"/>
  <c r="AF32" i="9"/>
  <c r="AA32" i="9"/>
  <c r="V32" i="9"/>
  <c r="Q32" i="9"/>
  <c r="L32" i="9"/>
  <c r="BT30" i="9"/>
  <c r="BT29" i="9"/>
  <c r="BT28" i="9"/>
  <c r="BT27" i="9" s="1"/>
  <c r="BO27" i="9"/>
  <c r="BJ27" i="9"/>
  <c r="BE27" i="9"/>
  <c r="AZ27" i="9"/>
  <c r="AU27" i="9"/>
  <c r="AP27" i="9"/>
  <c r="AK27" i="9"/>
  <c r="AF27" i="9"/>
  <c r="AA27" i="9"/>
  <c r="V27" i="9"/>
  <c r="Q27" i="9"/>
  <c r="L27" i="9"/>
  <c r="G27" i="9"/>
  <c r="BT25" i="9"/>
  <c r="BT24" i="9"/>
  <c r="BT23" i="9"/>
  <c r="BO22" i="9"/>
  <c r="BJ22" i="9"/>
  <c r="BE22" i="9"/>
  <c r="AZ22" i="9"/>
  <c r="AU22" i="9"/>
  <c r="AP22" i="9"/>
  <c r="AK22" i="9"/>
  <c r="AF22" i="9"/>
  <c r="AA22" i="9"/>
  <c r="V22" i="9"/>
  <c r="Q22" i="9"/>
  <c r="L22" i="9"/>
  <c r="G22" i="9"/>
  <c r="BO20" i="9"/>
  <c r="BJ20" i="9"/>
  <c r="BE20" i="9"/>
  <c r="AZ20" i="9"/>
  <c r="AU20" i="9"/>
  <c r="AP20" i="9"/>
  <c r="AK20" i="9"/>
  <c r="AF20" i="9"/>
  <c r="AA20" i="9"/>
  <c r="V20" i="9"/>
  <c r="Q20" i="9"/>
  <c r="L20" i="9"/>
  <c r="BO19" i="9"/>
  <c r="BJ19" i="9"/>
  <c r="BE19" i="9"/>
  <c r="AZ19" i="9"/>
  <c r="AU19" i="9"/>
  <c r="AP19" i="9"/>
  <c r="AK19" i="9"/>
  <c r="AF19" i="9"/>
  <c r="AA19" i="9"/>
  <c r="V19" i="9"/>
  <c r="Q19" i="9"/>
  <c r="L19" i="9"/>
  <c r="BE18" i="9"/>
  <c r="AP18" i="9"/>
  <c r="AK18" i="9"/>
  <c r="AA18" i="9"/>
  <c r="V18" i="9"/>
  <c r="Q18" i="9"/>
  <c r="Q17" i="9" s="1"/>
  <c r="Q13" i="9" s="1"/>
  <c r="G17" i="9"/>
  <c r="G13" i="9" s="1"/>
  <c r="G12" i="9" s="1"/>
  <c r="G9" i="9"/>
  <c r="G8" i="9"/>
  <c r="M1" i="9"/>
  <c r="BT155" i="7"/>
  <c r="BT154" i="7"/>
  <c r="BT153" i="7"/>
  <c r="BO152" i="7"/>
  <c r="BJ152" i="7"/>
  <c r="BE152" i="7"/>
  <c r="AZ152" i="7"/>
  <c r="AU152" i="7"/>
  <c r="AP152" i="7"/>
  <c r="AK152" i="7"/>
  <c r="AF152" i="7"/>
  <c r="AA152" i="7"/>
  <c r="V152" i="7"/>
  <c r="Q152" i="7"/>
  <c r="L152" i="7"/>
  <c r="G152" i="7"/>
  <c r="BT150" i="7"/>
  <c r="BT149" i="7"/>
  <c r="BT148" i="7"/>
  <c r="BO147" i="7"/>
  <c r="BJ147" i="7"/>
  <c r="BE147" i="7"/>
  <c r="AZ147" i="7"/>
  <c r="AU147" i="7"/>
  <c r="AP147" i="7"/>
  <c r="AK147" i="7"/>
  <c r="AF147" i="7"/>
  <c r="AA147" i="7"/>
  <c r="V147" i="7"/>
  <c r="Q147" i="7"/>
  <c r="L147" i="7"/>
  <c r="G147" i="7"/>
  <c r="BT145" i="7"/>
  <c r="BT144" i="7"/>
  <c r="BT143" i="7"/>
  <c r="BO142" i="7"/>
  <c r="BJ142" i="7"/>
  <c r="BE142" i="7"/>
  <c r="AZ142" i="7"/>
  <c r="AU142" i="7"/>
  <c r="AP142" i="7"/>
  <c r="AK142" i="7"/>
  <c r="AF142" i="7"/>
  <c r="AA142" i="7"/>
  <c r="V142" i="7"/>
  <c r="Q142" i="7"/>
  <c r="L142" i="7"/>
  <c r="G142" i="7"/>
  <c r="BT140" i="7"/>
  <c r="BT139" i="7"/>
  <c r="BT138" i="7"/>
  <c r="BO137" i="7"/>
  <c r="BJ137" i="7"/>
  <c r="BE137" i="7"/>
  <c r="AZ137" i="7"/>
  <c r="AU137" i="7"/>
  <c r="AP137" i="7"/>
  <c r="AK137" i="7"/>
  <c r="AF137" i="7"/>
  <c r="AA137" i="7"/>
  <c r="V137" i="7"/>
  <c r="Q137" i="7"/>
  <c r="L137" i="7"/>
  <c r="G137" i="7"/>
  <c r="BT135" i="7"/>
  <c r="BT134" i="7"/>
  <c r="BT133" i="7"/>
  <c r="BO132" i="7"/>
  <c r="BJ132" i="7"/>
  <c r="BE132" i="7"/>
  <c r="AZ132" i="7"/>
  <c r="AU132" i="7"/>
  <c r="AP132" i="7"/>
  <c r="AK132" i="7"/>
  <c r="AF132" i="7"/>
  <c r="AA132" i="7"/>
  <c r="V132" i="7"/>
  <c r="Q132" i="7"/>
  <c r="L132" i="7"/>
  <c r="G132" i="7"/>
  <c r="BT130" i="7"/>
  <c r="BT129" i="7"/>
  <c r="BT128" i="7"/>
  <c r="BO127" i="7"/>
  <c r="BJ127" i="7"/>
  <c r="BE127" i="7"/>
  <c r="AZ127" i="7"/>
  <c r="AU127" i="7"/>
  <c r="AP127" i="7"/>
  <c r="AK127" i="7"/>
  <c r="AF127" i="7"/>
  <c r="AA127" i="7"/>
  <c r="V127" i="7"/>
  <c r="Q127" i="7"/>
  <c r="L127" i="7"/>
  <c r="G127" i="7"/>
  <c r="BO125" i="7"/>
  <c r="BJ125" i="7"/>
  <c r="BE125" i="7"/>
  <c r="AZ125" i="7"/>
  <c r="AU125" i="7"/>
  <c r="AP125" i="7"/>
  <c r="AK125" i="7"/>
  <c r="AF125" i="7"/>
  <c r="AA125" i="7"/>
  <c r="V125" i="7"/>
  <c r="Q125" i="7"/>
  <c r="L125" i="7"/>
  <c r="G125" i="7"/>
  <c r="BO124" i="7"/>
  <c r="BJ124" i="7"/>
  <c r="BE124" i="7"/>
  <c r="AZ124" i="7"/>
  <c r="AU124" i="7"/>
  <c r="AU122" i="7" s="1"/>
  <c r="AU16" i="7" s="1"/>
  <c r="AP124" i="7"/>
  <c r="AK124" i="7"/>
  <c r="AF124" i="7"/>
  <c r="AA124" i="7"/>
  <c r="V124" i="7"/>
  <c r="Q124" i="7"/>
  <c r="Q122" i="7" s="1"/>
  <c r="Q16" i="7" s="1"/>
  <c r="L124" i="7"/>
  <c r="G124" i="7"/>
  <c r="BO123" i="7"/>
  <c r="BJ123" i="7"/>
  <c r="BE123" i="7"/>
  <c r="AZ123" i="7"/>
  <c r="AU123" i="7"/>
  <c r="AP123" i="7"/>
  <c r="AK123" i="7"/>
  <c r="AF123" i="7"/>
  <c r="AA123" i="7"/>
  <c r="V123" i="7"/>
  <c r="Q123" i="7"/>
  <c r="L123" i="7"/>
  <c r="G123" i="7"/>
  <c r="BT120" i="7"/>
  <c r="BO119" i="7"/>
  <c r="BJ119" i="7"/>
  <c r="BE119" i="7"/>
  <c r="AZ119" i="7"/>
  <c r="AU119" i="7"/>
  <c r="AP119" i="7"/>
  <c r="AK119" i="7"/>
  <c r="AF119" i="7"/>
  <c r="AA119" i="7"/>
  <c r="V119" i="7"/>
  <c r="Q119" i="7"/>
  <c r="L119" i="7"/>
  <c r="G119" i="7"/>
  <c r="BT117" i="7"/>
  <c r="BT116" i="7"/>
  <c r="BO116" i="7"/>
  <c r="BJ116" i="7"/>
  <c r="BE116" i="7"/>
  <c r="AZ116" i="7"/>
  <c r="AU116" i="7"/>
  <c r="AP116" i="7"/>
  <c r="AK116" i="7"/>
  <c r="AF116" i="7"/>
  <c r="AA116" i="7"/>
  <c r="V116" i="7"/>
  <c r="Q116" i="7"/>
  <c r="L116" i="7"/>
  <c r="G116" i="7"/>
  <c r="BT114" i="7"/>
  <c r="BO113" i="7"/>
  <c r="BJ113" i="7"/>
  <c r="BE113" i="7"/>
  <c r="AZ113" i="7"/>
  <c r="AU113" i="7"/>
  <c r="AP113" i="7"/>
  <c r="AK113" i="7"/>
  <c r="AF113" i="7"/>
  <c r="AA113" i="7"/>
  <c r="V113" i="7"/>
  <c r="Q113" i="7"/>
  <c r="L113" i="7"/>
  <c r="G113" i="7"/>
  <c r="BT111" i="7"/>
  <c r="BO110" i="7"/>
  <c r="BJ110" i="7"/>
  <c r="BE110" i="7"/>
  <c r="AZ110" i="7"/>
  <c r="AU110" i="7"/>
  <c r="AP110" i="7"/>
  <c r="AK110" i="7"/>
  <c r="AF110" i="7"/>
  <c r="AA110" i="7"/>
  <c r="V110" i="7"/>
  <c r="Q110" i="7"/>
  <c r="L110" i="7"/>
  <c r="G110" i="7"/>
  <c r="BT108" i="7"/>
  <c r="BO107" i="7"/>
  <c r="BJ107" i="7"/>
  <c r="BE107" i="7"/>
  <c r="AZ107" i="7"/>
  <c r="AU107" i="7"/>
  <c r="AP107" i="7"/>
  <c r="AK107" i="7"/>
  <c r="AF107" i="7"/>
  <c r="AA107" i="7"/>
  <c r="V107" i="7"/>
  <c r="Q107" i="7"/>
  <c r="L107" i="7"/>
  <c r="G107" i="7"/>
  <c r="D107" i="7"/>
  <c r="BT105" i="7"/>
  <c r="BO104" i="7"/>
  <c r="BJ104" i="7"/>
  <c r="BE104" i="7"/>
  <c r="AZ104" i="7"/>
  <c r="AU104" i="7"/>
  <c r="AP104" i="7"/>
  <c r="AK104" i="7"/>
  <c r="AF104" i="7"/>
  <c r="AA104" i="7"/>
  <c r="V104" i="7"/>
  <c r="Q104" i="7"/>
  <c r="L104" i="7"/>
  <c r="G104" i="7"/>
  <c r="BT102" i="7"/>
  <c r="BT101" i="7"/>
  <c r="BO101" i="7"/>
  <c r="BJ101" i="7"/>
  <c r="BE101" i="7"/>
  <c r="AZ101" i="7"/>
  <c r="AU101" i="7"/>
  <c r="AP101" i="7"/>
  <c r="AK101" i="7"/>
  <c r="AF101" i="7"/>
  <c r="AA101" i="7"/>
  <c r="V101" i="7"/>
  <c r="Q101" i="7"/>
  <c r="L101" i="7"/>
  <c r="G101" i="7"/>
  <c r="BT99" i="7"/>
  <c r="BT98" i="7" s="1"/>
  <c r="BO98" i="7"/>
  <c r="BJ98" i="7"/>
  <c r="BE98" i="7"/>
  <c r="AZ98" i="7"/>
  <c r="AU98" i="7"/>
  <c r="AP98" i="7"/>
  <c r="AK98" i="7"/>
  <c r="AF98" i="7"/>
  <c r="AA98" i="7"/>
  <c r="V98" i="7"/>
  <c r="Q98" i="7"/>
  <c r="L98" i="7"/>
  <c r="G98" i="7"/>
  <c r="BT96" i="7"/>
  <c r="BO95" i="7"/>
  <c r="BJ95" i="7"/>
  <c r="BE95" i="7"/>
  <c r="AZ95" i="7"/>
  <c r="AU95" i="7"/>
  <c r="AP95" i="7"/>
  <c r="AK95" i="7"/>
  <c r="AF95" i="7"/>
  <c r="AA95" i="7"/>
  <c r="V95" i="7"/>
  <c r="Q95" i="7"/>
  <c r="L95" i="7"/>
  <c r="G95" i="7"/>
  <c r="BT93" i="7"/>
  <c r="BO92" i="7"/>
  <c r="BJ92" i="7"/>
  <c r="BE92" i="7"/>
  <c r="AZ92" i="7"/>
  <c r="AU92" i="7"/>
  <c r="AP92" i="7"/>
  <c r="AK92" i="7"/>
  <c r="AF92" i="7"/>
  <c r="AA92" i="7"/>
  <c r="V92" i="7"/>
  <c r="Q92" i="7"/>
  <c r="L92" i="7"/>
  <c r="G92" i="7"/>
  <c r="D92" i="7"/>
  <c r="BT90" i="7"/>
  <c r="BT89" i="7"/>
  <c r="BO89" i="7"/>
  <c r="BJ89" i="7"/>
  <c r="BE89" i="7"/>
  <c r="AZ89" i="7"/>
  <c r="AU89" i="7"/>
  <c r="AP89" i="7"/>
  <c r="AK89" i="7"/>
  <c r="AF89" i="7"/>
  <c r="AA89" i="7"/>
  <c r="V89" i="7"/>
  <c r="Q89" i="7"/>
  <c r="L89" i="7"/>
  <c r="G89" i="7"/>
  <c r="D89" i="7"/>
  <c r="BT87" i="7"/>
  <c r="BO86" i="7"/>
  <c r="BJ86" i="7"/>
  <c r="BE86" i="7"/>
  <c r="AZ86" i="7"/>
  <c r="AU86" i="7"/>
  <c r="AP86" i="7"/>
  <c r="AK86" i="7"/>
  <c r="AF86" i="7"/>
  <c r="AA86" i="7"/>
  <c r="V86" i="7"/>
  <c r="Q86" i="7"/>
  <c r="L86" i="7"/>
  <c r="G86" i="7"/>
  <c r="BT84" i="7"/>
  <c r="BO83" i="7"/>
  <c r="BJ83" i="7"/>
  <c r="BE83" i="7"/>
  <c r="AZ83" i="7"/>
  <c r="AU83" i="7"/>
  <c r="AP83" i="7"/>
  <c r="AK83" i="7"/>
  <c r="AF83" i="7"/>
  <c r="AA83" i="7"/>
  <c r="V83" i="7"/>
  <c r="Q83" i="7"/>
  <c r="L83" i="7"/>
  <c r="G83" i="7"/>
  <c r="BT81" i="7"/>
  <c r="BT80" i="7" s="1"/>
  <c r="BO80" i="7"/>
  <c r="BJ80" i="7"/>
  <c r="BE80" i="7"/>
  <c r="AZ80" i="7"/>
  <c r="AU80" i="7"/>
  <c r="AP80" i="7"/>
  <c r="AK80" i="7"/>
  <c r="AF80" i="7"/>
  <c r="AA80" i="7"/>
  <c r="V80" i="7"/>
  <c r="Q80" i="7"/>
  <c r="M80" i="7"/>
  <c r="L80" i="7"/>
  <c r="G80" i="7"/>
  <c r="BT78" i="7"/>
  <c r="BO77" i="7"/>
  <c r="BJ77" i="7"/>
  <c r="BE77" i="7"/>
  <c r="AZ77" i="7"/>
  <c r="AU77" i="7"/>
  <c r="AP77" i="7"/>
  <c r="AK77" i="7"/>
  <c r="AF77" i="7"/>
  <c r="AA77" i="7"/>
  <c r="V77" i="7"/>
  <c r="Q77" i="7"/>
  <c r="L77" i="7"/>
  <c r="G77" i="7"/>
  <c r="BT75" i="7"/>
  <c r="BT74" i="7"/>
  <c r="BO74" i="7"/>
  <c r="BJ74" i="7"/>
  <c r="BE74" i="7"/>
  <c r="AZ74" i="7"/>
  <c r="AU74" i="7"/>
  <c r="AP74" i="7"/>
  <c r="AK74" i="7"/>
  <c r="AF74" i="7"/>
  <c r="AA74" i="7"/>
  <c r="V74" i="7"/>
  <c r="Q74" i="7"/>
  <c r="L74" i="7"/>
  <c r="G74" i="7"/>
  <c r="D74" i="7"/>
  <c r="BT72" i="7"/>
  <c r="BO71" i="7"/>
  <c r="BJ71" i="7"/>
  <c r="BE71" i="7"/>
  <c r="AZ71" i="7"/>
  <c r="AU71" i="7"/>
  <c r="AP71" i="7"/>
  <c r="AK71" i="7"/>
  <c r="AF71" i="7"/>
  <c r="AA71" i="7"/>
  <c r="V71" i="7"/>
  <c r="Q71" i="7"/>
  <c r="L71" i="7"/>
  <c r="G71" i="7"/>
  <c r="BT69" i="7"/>
  <c r="BT68" i="7" s="1"/>
  <c r="BO68" i="7"/>
  <c r="BJ68" i="7"/>
  <c r="BE68" i="7"/>
  <c r="AZ68" i="7"/>
  <c r="AU68" i="7"/>
  <c r="AP68" i="7"/>
  <c r="AK68" i="7"/>
  <c r="AF68" i="7"/>
  <c r="AA68" i="7"/>
  <c r="V68" i="7"/>
  <c r="Q68" i="7"/>
  <c r="L68" i="7"/>
  <c r="G68" i="7"/>
  <c r="BO66" i="7"/>
  <c r="BJ66" i="7"/>
  <c r="BE66" i="7"/>
  <c r="AZ66" i="7"/>
  <c r="AZ65" i="7" s="1"/>
  <c r="AU66" i="7"/>
  <c r="AP66" i="7"/>
  <c r="AK66" i="7"/>
  <c r="AF66" i="7"/>
  <c r="AF65" i="7" s="1"/>
  <c r="V66" i="7"/>
  <c r="Q66" i="7"/>
  <c r="L66" i="7"/>
  <c r="G66" i="7"/>
  <c r="G65" i="7" s="1"/>
  <c r="G15" i="7" s="1"/>
  <c r="BE65" i="7"/>
  <c r="AA65" i="7"/>
  <c r="AA15" i="7" s="1"/>
  <c r="BT63" i="7"/>
  <c r="BT62" i="7"/>
  <c r="BT61" i="7"/>
  <c r="BO60" i="7"/>
  <c r="BJ60" i="7"/>
  <c r="BE60" i="7"/>
  <c r="AZ60" i="7"/>
  <c r="AU60" i="7"/>
  <c r="AP60" i="7"/>
  <c r="AK60" i="7"/>
  <c r="AF60" i="7"/>
  <c r="AA60" i="7"/>
  <c r="V60" i="7"/>
  <c r="Q60" i="7"/>
  <c r="L60" i="7"/>
  <c r="G60" i="7"/>
  <c r="BT58" i="7"/>
  <c r="BT57" i="7"/>
  <c r="BT56" i="7"/>
  <c r="BO55" i="7"/>
  <c r="BJ55" i="7"/>
  <c r="BE55" i="7"/>
  <c r="AZ55" i="7"/>
  <c r="AU55" i="7"/>
  <c r="AP55" i="7"/>
  <c r="AK55" i="7"/>
  <c r="AF55" i="7"/>
  <c r="AA55" i="7"/>
  <c r="V55" i="7"/>
  <c r="Q55" i="7"/>
  <c r="L55" i="7"/>
  <c r="G55" i="7"/>
  <c r="BT53" i="7"/>
  <c r="BT52" i="7"/>
  <c r="BT51" i="7"/>
  <c r="BT50" i="7"/>
  <c r="BO50" i="7"/>
  <c r="BJ50" i="7"/>
  <c r="BE50" i="7"/>
  <c r="AZ50" i="7"/>
  <c r="AU50" i="7"/>
  <c r="AP50" i="7"/>
  <c r="AK50" i="7"/>
  <c r="AF50" i="7"/>
  <c r="AA50" i="7"/>
  <c r="V50" i="7"/>
  <c r="Q50" i="7"/>
  <c r="L50" i="7"/>
  <c r="G50" i="7"/>
  <c r="BT48" i="7"/>
  <c r="BT47" i="7"/>
  <c r="BT46" i="7"/>
  <c r="BO45" i="7"/>
  <c r="BJ45" i="7"/>
  <c r="BE45" i="7"/>
  <c r="AZ45" i="7"/>
  <c r="AU45" i="7"/>
  <c r="AP45" i="7"/>
  <c r="AK45" i="7"/>
  <c r="AF45" i="7"/>
  <c r="AA45" i="7"/>
  <c r="V45" i="7"/>
  <c r="Q45" i="7"/>
  <c r="L45" i="7"/>
  <c r="G45" i="7"/>
  <c r="BT43" i="7"/>
  <c r="BT42" i="7"/>
  <c r="BT41" i="7"/>
  <c r="BO40" i="7"/>
  <c r="BJ40" i="7"/>
  <c r="BE40" i="7"/>
  <c r="AZ40" i="7"/>
  <c r="AU40" i="7"/>
  <c r="AP40" i="7"/>
  <c r="AK40" i="7"/>
  <c r="AF40" i="7"/>
  <c r="AA40" i="7"/>
  <c r="V40" i="7"/>
  <c r="Q40" i="7"/>
  <c r="L40" i="7"/>
  <c r="BT38" i="7"/>
  <c r="BT37" i="7"/>
  <c r="BT36" i="7"/>
  <c r="BO35" i="7"/>
  <c r="BJ35" i="7"/>
  <c r="BE35" i="7"/>
  <c r="AZ35" i="7"/>
  <c r="AU35" i="7"/>
  <c r="AP35" i="7"/>
  <c r="AK35" i="7"/>
  <c r="AF35" i="7"/>
  <c r="AA35" i="7"/>
  <c r="V35" i="7"/>
  <c r="Q35" i="7"/>
  <c r="L35" i="7"/>
  <c r="BJ33" i="7"/>
  <c r="BJ32" i="7"/>
  <c r="BJ31" i="7"/>
  <c r="BE31" i="7"/>
  <c r="Q31" i="7"/>
  <c r="G31" i="7"/>
  <c r="G30" i="7" s="1"/>
  <c r="BO30" i="7"/>
  <c r="AZ30" i="7"/>
  <c r="AZ14" i="7" s="1"/>
  <c r="AU30" i="7"/>
  <c r="AP30" i="7"/>
  <c r="AK30" i="7"/>
  <c r="AF30" i="7"/>
  <c r="AF14" i="7" s="1"/>
  <c r="AA30" i="7"/>
  <c r="V30" i="7"/>
  <c r="L30" i="7"/>
  <c r="BT28" i="7"/>
  <c r="BT27" i="7"/>
  <c r="BT26" i="7"/>
  <c r="BT25" i="7"/>
  <c r="BT24" i="7"/>
  <c r="BT23" i="7"/>
  <c r="BT22" i="7"/>
  <c r="BT21" i="7"/>
  <c r="BT20" i="7"/>
  <c r="BT19" i="7"/>
  <c r="BO18" i="7"/>
  <c r="BO13" i="7" s="1"/>
  <c r="BJ18" i="7"/>
  <c r="BE18" i="7"/>
  <c r="AZ18" i="7"/>
  <c r="AU18" i="7"/>
  <c r="AP18" i="7"/>
  <c r="AK18" i="7"/>
  <c r="AK13" i="7" s="1"/>
  <c r="AF18" i="7"/>
  <c r="AA18" i="7"/>
  <c r="V18" i="7"/>
  <c r="V13" i="7" s="1"/>
  <c r="Q18" i="7"/>
  <c r="L18" i="7"/>
  <c r="G18" i="7"/>
  <c r="G13" i="7" s="1"/>
  <c r="G16" i="7"/>
  <c r="BO14" i="7"/>
  <c r="AU14" i="7"/>
  <c r="AK14" i="7"/>
  <c r="G14" i="7"/>
  <c r="AP13" i="7"/>
  <c r="AF13" i="7"/>
  <c r="L13" i="7"/>
  <c r="G9" i="7"/>
  <c r="G8" i="7"/>
  <c r="M1" i="7"/>
  <c r="BT346" i="6"/>
  <c r="BT345" i="6" s="1"/>
  <c r="BO345" i="6"/>
  <c r="BJ345" i="6"/>
  <c r="BE345" i="6"/>
  <c r="AZ345" i="6"/>
  <c r="AU345" i="6"/>
  <c r="AP345" i="6"/>
  <c r="AK345" i="6"/>
  <c r="AF345" i="6"/>
  <c r="AA345" i="6"/>
  <c r="V345" i="6"/>
  <c r="Q345" i="6"/>
  <c r="L345" i="6"/>
  <c r="G345" i="6"/>
  <c r="BT343" i="6"/>
  <c r="BT342" i="6" s="1"/>
  <c r="BO342" i="6"/>
  <c r="BJ342" i="6"/>
  <c r="BE342" i="6"/>
  <c r="AZ342" i="6"/>
  <c r="AU342" i="6"/>
  <c r="AP342" i="6"/>
  <c r="AK342" i="6"/>
  <c r="AF342" i="6"/>
  <c r="AA342" i="6"/>
  <c r="V342" i="6"/>
  <c r="Q342" i="6"/>
  <c r="L342" i="6"/>
  <c r="G342" i="6"/>
  <c r="BT340" i="6"/>
  <c r="BO339" i="6"/>
  <c r="BJ339" i="6"/>
  <c r="BE339" i="6"/>
  <c r="AZ339" i="6"/>
  <c r="AU339" i="6"/>
  <c r="AP339" i="6"/>
  <c r="AK339" i="6"/>
  <c r="AF339" i="6"/>
  <c r="AA339" i="6"/>
  <c r="V339" i="6"/>
  <c r="Q339" i="6"/>
  <c r="L339" i="6"/>
  <c r="G339" i="6"/>
  <c r="BT337" i="6"/>
  <c r="BO336" i="6"/>
  <c r="BJ336" i="6"/>
  <c r="BE336" i="6"/>
  <c r="AZ336" i="6"/>
  <c r="AU336" i="6"/>
  <c r="AP336" i="6"/>
  <c r="AK336" i="6"/>
  <c r="AF336" i="6"/>
  <c r="AA336" i="6"/>
  <c r="V336" i="6"/>
  <c r="Q336" i="6"/>
  <c r="L336" i="6"/>
  <c r="G336" i="6"/>
  <c r="BT334" i="6"/>
  <c r="BO333" i="6"/>
  <c r="BJ333" i="6"/>
  <c r="BE333" i="6"/>
  <c r="AZ333" i="6"/>
  <c r="AU333" i="6"/>
  <c r="AP333" i="6"/>
  <c r="AK333" i="6"/>
  <c r="AF333" i="6"/>
  <c r="AA333" i="6"/>
  <c r="V333" i="6"/>
  <c r="Q333" i="6"/>
  <c r="L333" i="6"/>
  <c r="G333" i="6"/>
  <c r="BT331" i="6"/>
  <c r="BO330" i="6"/>
  <c r="BJ330" i="6"/>
  <c r="BE330" i="6"/>
  <c r="AZ330" i="6"/>
  <c r="AU330" i="6"/>
  <c r="AP330" i="6"/>
  <c r="AK330" i="6"/>
  <c r="AF330" i="6"/>
  <c r="AA330" i="6"/>
  <c r="V330" i="6"/>
  <c r="Q330" i="6"/>
  <c r="L330" i="6"/>
  <c r="G330" i="6"/>
  <c r="BT328" i="6"/>
  <c r="BO327" i="6"/>
  <c r="BJ327" i="6"/>
  <c r="BE327" i="6"/>
  <c r="AZ327" i="6"/>
  <c r="AU327" i="6"/>
  <c r="AP327" i="6"/>
  <c r="AK327" i="6"/>
  <c r="AF327" i="6"/>
  <c r="AA327" i="6"/>
  <c r="V327" i="6"/>
  <c r="Q327" i="6"/>
  <c r="L327" i="6"/>
  <c r="G327" i="6"/>
  <c r="BT325" i="6"/>
  <c r="BO324" i="6"/>
  <c r="BJ324" i="6"/>
  <c r="BE324" i="6"/>
  <c r="AZ324" i="6"/>
  <c r="AU324" i="6"/>
  <c r="AP324" i="6"/>
  <c r="AK324" i="6"/>
  <c r="AF324" i="6"/>
  <c r="AA324" i="6"/>
  <c r="V324" i="6"/>
  <c r="Q324" i="6"/>
  <c r="L324" i="6"/>
  <c r="G324" i="6"/>
  <c r="BT322" i="6"/>
  <c r="BT321" i="6"/>
  <c r="BQ321" i="6"/>
  <c r="BP321" i="6"/>
  <c r="BO321" i="6"/>
  <c r="BN321" i="6"/>
  <c r="BM321" i="6"/>
  <c r="BL321" i="6"/>
  <c r="BK321" i="6"/>
  <c r="BJ321" i="6"/>
  <c r="BI321" i="6"/>
  <c r="BH321" i="6"/>
  <c r="BG321" i="6"/>
  <c r="BF321" i="6"/>
  <c r="BE321" i="6"/>
  <c r="BD321" i="6"/>
  <c r="BC321" i="6"/>
  <c r="BB321" i="6"/>
  <c r="BA321" i="6"/>
  <c r="AZ321" i="6"/>
  <c r="AY321" i="6"/>
  <c r="AX321" i="6"/>
  <c r="AW321" i="6"/>
  <c r="AV321" i="6"/>
  <c r="AU321" i="6"/>
  <c r="AT321" i="6"/>
  <c r="AS321" i="6"/>
  <c r="AR321" i="6"/>
  <c r="AQ321" i="6"/>
  <c r="AP321" i="6"/>
  <c r="AO321" i="6"/>
  <c r="AN321" i="6"/>
  <c r="AM321" i="6"/>
  <c r="AL321" i="6"/>
  <c r="AK321" i="6"/>
  <c r="AJ321" i="6"/>
  <c r="AI321" i="6"/>
  <c r="AH321" i="6"/>
  <c r="AG321" i="6"/>
  <c r="AF321" i="6"/>
  <c r="AE321" i="6"/>
  <c r="AD321" i="6"/>
  <c r="AC321" i="6"/>
  <c r="AB321" i="6"/>
  <c r="AA321" i="6"/>
  <c r="Z321" i="6"/>
  <c r="V321" i="6"/>
  <c r="Q321" i="6"/>
  <c r="L321" i="6"/>
  <c r="G321" i="6"/>
  <c r="BT318" i="6"/>
  <c r="BO317" i="6"/>
  <c r="BJ317" i="6"/>
  <c r="BE317" i="6"/>
  <c r="AZ317" i="6"/>
  <c r="AU317" i="6"/>
  <c r="AP317" i="6"/>
  <c r="AK317" i="6"/>
  <c r="AF317" i="6"/>
  <c r="AA317" i="6"/>
  <c r="V317" i="6"/>
  <c r="Q317" i="6"/>
  <c r="L317" i="6"/>
  <c r="D317" i="6"/>
  <c r="BO314" i="6"/>
  <c r="BJ314" i="6"/>
  <c r="BJ313" i="6" s="1"/>
  <c r="BE314" i="6"/>
  <c r="AZ314" i="6"/>
  <c r="AU314" i="6"/>
  <c r="AP314" i="6"/>
  <c r="AK314" i="6"/>
  <c r="AA314" i="6"/>
  <c r="AA313" i="6" s="1"/>
  <c r="AA16" i="6" s="1"/>
  <c r="V314" i="6"/>
  <c r="Q314" i="6"/>
  <c r="L314" i="6"/>
  <c r="BO313" i="6"/>
  <c r="BO16" i="6" s="1"/>
  <c r="AU313" i="6"/>
  <c r="AF313" i="6"/>
  <c r="G313" i="6"/>
  <c r="BT311" i="6"/>
  <c r="BO310" i="6"/>
  <c r="BJ310" i="6"/>
  <c r="BE310" i="6"/>
  <c r="AZ310" i="6"/>
  <c r="AU310" i="6"/>
  <c r="AP310" i="6"/>
  <c r="AK310" i="6"/>
  <c r="AF310" i="6"/>
  <c r="AA310" i="6"/>
  <c r="V310" i="6"/>
  <c r="Q310" i="6"/>
  <c r="L310" i="6"/>
  <c r="G310" i="6"/>
  <c r="BT308" i="6"/>
  <c r="BO307" i="6"/>
  <c r="BJ307" i="6"/>
  <c r="BE307" i="6"/>
  <c r="AZ307" i="6"/>
  <c r="AU307" i="6"/>
  <c r="AP307" i="6"/>
  <c r="AK307" i="6"/>
  <c r="AF307" i="6"/>
  <c r="AA307" i="6"/>
  <c r="V307" i="6"/>
  <c r="Q307" i="6"/>
  <c r="L307" i="6"/>
  <c r="G307" i="6"/>
  <c r="BT305" i="6"/>
  <c r="BO304" i="6"/>
  <c r="BJ304" i="6"/>
  <c r="BE304" i="6"/>
  <c r="AZ304" i="6"/>
  <c r="AU304" i="6"/>
  <c r="AP304" i="6"/>
  <c r="AK304" i="6"/>
  <c r="AF304" i="6"/>
  <c r="AA304" i="6"/>
  <c r="V304" i="6"/>
  <c r="Q304" i="6"/>
  <c r="L304" i="6"/>
  <c r="G304" i="6"/>
  <c r="BT302" i="6"/>
  <c r="BO301" i="6"/>
  <c r="BJ301" i="6"/>
  <c r="BE301" i="6"/>
  <c r="AZ301" i="6"/>
  <c r="AU301" i="6"/>
  <c r="AP301" i="6"/>
  <c r="AK301" i="6"/>
  <c r="AF301" i="6"/>
  <c r="AA301" i="6"/>
  <c r="V301" i="6"/>
  <c r="Q301" i="6"/>
  <c r="L301" i="6"/>
  <c r="G301" i="6"/>
  <c r="BT299" i="6"/>
  <c r="BO298" i="6"/>
  <c r="BJ298" i="6"/>
  <c r="BE298" i="6"/>
  <c r="AU298" i="6"/>
  <c r="AK298" i="6"/>
  <c r="AA298" i="6"/>
  <c r="Q298" i="6"/>
  <c r="L298" i="6"/>
  <c r="G298" i="6"/>
  <c r="BT296" i="6"/>
  <c r="BO295" i="6"/>
  <c r="BJ295" i="6"/>
  <c r="BE295" i="6"/>
  <c r="AZ295" i="6"/>
  <c r="AU295" i="6"/>
  <c r="AP295" i="6"/>
  <c r="AK295" i="6"/>
  <c r="AF295" i="6"/>
  <c r="AA295" i="6"/>
  <c r="V295" i="6"/>
  <c r="Q295" i="6"/>
  <c r="L295" i="6"/>
  <c r="G295" i="6"/>
  <c r="BT293" i="6"/>
  <c r="BO292" i="6"/>
  <c r="BJ292" i="6"/>
  <c r="BE292" i="6"/>
  <c r="AZ292" i="6"/>
  <c r="AU292" i="6"/>
  <c r="AP292" i="6"/>
  <c r="AK292" i="6"/>
  <c r="AF292" i="6"/>
  <c r="AA292" i="6"/>
  <c r="V292" i="6"/>
  <c r="Q292" i="6"/>
  <c r="L292" i="6"/>
  <c r="G292" i="6"/>
  <c r="BT290" i="6"/>
  <c r="BT289" i="6" s="1"/>
  <c r="BO289" i="6"/>
  <c r="BJ289" i="6"/>
  <c r="BE289" i="6"/>
  <c r="AZ289" i="6"/>
  <c r="AU289" i="6"/>
  <c r="AP289" i="6"/>
  <c r="AK289" i="6"/>
  <c r="AF289" i="6"/>
  <c r="AA289" i="6"/>
  <c r="V289" i="6"/>
  <c r="Q289" i="6"/>
  <c r="L289" i="6"/>
  <c r="G289" i="6"/>
  <c r="BT287" i="6"/>
  <c r="BO286" i="6"/>
  <c r="BJ286" i="6"/>
  <c r="BE286" i="6"/>
  <c r="AZ286" i="6"/>
  <c r="AU286" i="6"/>
  <c r="AP286" i="6"/>
  <c r="AK286" i="6"/>
  <c r="AF286" i="6"/>
  <c r="AA286" i="6"/>
  <c r="V286" i="6"/>
  <c r="Q286" i="6"/>
  <c r="L286" i="6"/>
  <c r="AU284" i="6"/>
  <c r="AF284" i="6"/>
  <c r="BT281" i="6"/>
  <c r="BT280" i="6"/>
  <c r="BT279" i="6"/>
  <c r="BO278" i="6"/>
  <c r="BJ278" i="6"/>
  <c r="BE278" i="6"/>
  <c r="AZ278" i="6"/>
  <c r="AU278" i="6"/>
  <c r="AP278" i="6"/>
  <c r="AK278" i="6"/>
  <c r="AF278" i="6"/>
  <c r="AA278" i="6"/>
  <c r="V278" i="6"/>
  <c r="Q278" i="6"/>
  <c r="L278" i="6"/>
  <c r="G278" i="6"/>
  <c r="BT276" i="6"/>
  <c r="BT275" i="6"/>
  <c r="BT274" i="6"/>
  <c r="BJ274" i="6"/>
  <c r="G274" i="6"/>
  <c r="BO273" i="6"/>
  <c r="BJ273" i="6"/>
  <c r="BE273" i="6"/>
  <c r="AZ273" i="6"/>
  <c r="AU273" i="6"/>
  <c r="AP273" i="6"/>
  <c r="AK273" i="6"/>
  <c r="AF273" i="6"/>
  <c r="AA273" i="6"/>
  <c r="V273" i="6"/>
  <c r="Q273" i="6"/>
  <c r="L273" i="6"/>
  <c r="BT271" i="6"/>
  <c r="BT270" i="6"/>
  <c r="BJ269" i="6"/>
  <c r="G269" i="6"/>
  <c r="BO268" i="6"/>
  <c r="BE268" i="6"/>
  <c r="AZ268" i="6"/>
  <c r="AU268" i="6"/>
  <c r="AP268" i="6"/>
  <c r="AK268" i="6"/>
  <c r="AF268" i="6"/>
  <c r="AA268" i="6"/>
  <c r="V268" i="6"/>
  <c r="Q268" i="6"/>
  <c r="L268" i="6"/>
  <c r="G268" i="6"/>
  <c r="BT266" i="6"/>
  <c r="BT265" i="6"/>
  <c r="BT264" i="6"/>
  <c r="BJ264" i="6"/>
  <c r="G264" i="6"/>
  <c r="BO263" i="6"/>
  <c r="BJ263" i="6"/>
  <c r="BE263" i="6"/>
  <c r="AZ263" i="6"/>
  <c r="AU263" i="6"/>
  <c r="AP263" i="6"/>
  <c r="AK263" i="6"/>
  <c r="AF263" i="6"/>
  <c r="AA263" i="6"/>
  <c r="V263" i="6"/>
  <c r="Q263" i="6"/>
  <c r="L263" i="6"/>
  <c r="BT261" i="6"/>
  <c r="BT260" i="6"/>
  <c r="BT259" i="6"/>
  <c r="BT258" i="6"/>
  <c r="BT257" i="6" s="1"/>
  <c r="BO257" i="6"/>
  <c r="BJ257" i="6"/>
  <c r="BE257" i="6"/>
  <c r="AZ257" i="6"/>
  <c r="AU257" i="6"/>
  <c r="AP257" i="6"/>
  <c r="AK257" i="6"/>
  <c r="AF257" i="6"/>
  <c r="AA257" i="6"/>
  <c r="V257" i="6"/>
  <c r="Q257" i="6"/>
  <c r="L257" i="6"/>
  <c r="BT255" i="6"/>
  <c r="BT254" i="6"/>
  <c r="BT253" i="6"/>
  <c r="AP252" i="6"/>
  <c r="AF252" i="6"/>
  <c r="V252" i="6"/>
  <c r="Q252" i="6"/>
  <c r="BT250" i="6"/>
  <c r="BT249" i="6"/>
  <c r="BJ248" i="6"/>
  <c r="G248" i="6"/>
  <c r="G247" i="6" s="1"/>
  <c r="BO247" i="6"/>
  <c r="BE247" i="6"/>
  <c r="AZ247" i="6"/>
  <c r="AU247" i="6"/>
  <c r="AP247" i="6"/>
  <c r="AK247" i="6"/>
  <c r="AF247" i="6"/>
  <c r="AA247" i="6"/>
  <c r="V247" i="6"/>
  <c r="Q247" i="6"/>
  <c r="L247" i="6"/>
  <c r="BT245" i="6"/>
  <c r="BT244" i="6"/>
  <c r="BJ243" i="6"/>
  <c r="G243" i="6"/>
  <c r="BO242" i="6"/>
  <c r="BJ242" i="6"/>
  <c r="BE242" i="6"/>
  <c r="AZ242" i="6"/>
  <c r="AU242" i="6"/>
  <c r="AP242" i="6"/>
  <c r="AK242" i="6"/>
  <c r="AF242" i="6"/>
  <c r="AA242" i="6"/>
  <c r="V242" i="6"/>
  <c r="Q242" i="6"/>
  <c r="L242" i="6"/>
  <c r="G242" i="6"/>
  <c r="BT240" i="6"/>
  <c r="BT239" i="6"/>
  <c r="BJ238" i="6"/>
  <c r="G238" i="6"/>
  <c r="BO237" i="6"/>
  <c r="BE237" i="6"/>
  <c r="AZ237" i="6"/>
  <c r="AU237" i="6"/>
  <c r="AP237" i="6"/>
  <c r="AK237" i="6"/>
  <c r="AF237" i="6"/>
  <c r="AA237" i="6"/>
  <c r="V237" i="6"/>
  <c r="Q237" i="6"/>
  <c r="L237" i="6"/>
  <c r="BT235" i="6"/>
  <c r="BT234" i="6"/>
  <c r="BT233" i="6"/>
  <c r="BT232" i="6"/>
  <c r="BJ231" i="6"/>
  <c r="AZ231" i="6"/>
  <c r="AU231" i="6"/>
  <c r="AK231" i="6"/>
  <c r="AF231" i="6"/>
  <c r="Q231" i="6"/>
  <c r="D231" i="6"/>
  <c r="BT229" i="6"/>
  <c r="BT228" i="6"/>
  <c r="BJ227" i="6"/>
  <c r="G227" i="6"/>
  <c r="BO226" i="6"/>
  <c r="BJ226" i="6"/>
  <c r="BE226" i="6"/>
  <c r="AZ226" i="6"/>
  <c r="AU226" i="6"/>
  <c r="AP226" i="6"/>
  <c r="AK226" i="6"/>
  <c r="AF226" i="6"/>
  <c r="AA226" i="6"/>
  <c r="V226" i="6"/>
  <c r="Q226" i="6"/>
  <c r="L226" i="6"/>
  <c r="G226" i="6"/>
  <c r="BT224" i="6"/>
  <c r="BT223" i="6"/>
  <c r="BT222" i="6"/>
  <c r="BO221" i="6"/>
  <c r="BJ221" i="6"/>
  <c r="BE221" i="6"/>
  <c r="AZ221" i="6"/>
  <c r="AU221" i="6"/>
  <c r="AP221" i="6"/>
  <c r="AK221" i="6"/>
  <c r="AF221" i="6"/>
  <c r="AA221" i="6"/>
  <c r="V221" i="6"/>
  <c r="Q221" i="6"/>
  <c r="L221" i="6"/>
  <c r="G221" i="6"/>
  <c r="BO219" i="6"/>
  <c r="BJ219" i="6"/>
  <c r="BE219" i="6"/>
  <c r="AZ219" i="6"/>
  <c r="AU219" i="6"/>
  <c r="AP219" i="6"/>
  <c r="AK219" i="6"/>
  <c r="AF219" i="6"/>
  <c r="AA219" i="6"/>
  <c r="V219" i="6"/>
  <c r="Q219" i="6"/>
  <c r="L219" i="6"/>
  <c r="G219" i="6"/>
  <c r="BO218" i="6"/>
  <c r="BJ218" i="6"/>
  <c r="BE218" i="6"/>
  <c r="AZ218" i="6"/>
  <c r="AU218" i="6"/>
  <c r="AP218" i="6"/>
  <c r="AK218" i="6"/>
  <c r="AF218" i="6"/>
  <c r="AA218" i="6"/>
  <c r="V218" i="6"/>
  <c r="Q218" i="6"/>
  <c r="L218" i="6"/>
  <c r="G218" i="6"/>
  <c r="BO217" i="6"/>
  <c r="BJ217" i="6"/>
  <c r="BE217" i="6"/>
  <c r="AZ217" i="6"/>
  <c r="AU217" i="6"/>
  <c r="AP217" i="6"/>
  <c r="AK217" i="6"/>
  <c r="AF217" i="6"/>
  <c r="AA217" i="6"/>
  <c r="V217" i="6"/>
  <c r="Q217" i="6"/>
  <c r="L217" i="6"/>
  <c r="G217" i="6"/>
  <c r="BO216" i="6"/>
  <c r="BE216" i="6"/>
  <c r="AZ216" i="6"/>
  <c r="AU216" i="6"/>
  <c r="AP216" i="6"/>
  <c r="AK216" i="6"/>
  <c r="AF216" i="6"/>
  <c r="AA216" i="6"/>
  <c r="V216" i="6"/>
  <c r="Q216" i="6"/>
  <c r="Q215" i="6" s="1"/>
  <c r="Q14" i="6" s="1"/>
  <c r="L216" i="6"/>
  <c r="AU215" i="6"/>
  <c r="AU14" i="6" s="1"/>
  <c r="BT213" i="6"/>
  <c r="BT212" i="6"/>
  <c r="BT211" i="6"/>
  <c r="BT210" i="6"/>
  <c r="BT209" i="6"/>
  <c r="BT208" i="6"/>
  <c r="BT207" i="6"/>
  <c r="BO206" i="6"/>
  <c r="BJ206" i="6"/>
  <c r="BE206" i="6"/>
  <c r="AZ206" i="6"/>
  <c r="AU206" i="6"/>
  <c r="AP206" i="6"/>
  <c r="AK206" i="6"/>
  <c r="AF206" i="6"/>
  <c r="AA206" i="6"/>
  <c r="V206" i="6"/>
  <c r="Q206" i="6"/>
  <c r="L206" i="6"/>
  <c r="G206" i="6"/>
  <c r="BT204" i="6"/>
  <c r="BT203" i="6"/>
  <c r="BT202" i="6"/>
  <c r="BT201" i="6"/>
  <c r="BT200" i="6"/>
  <c r="BT199" i="6"/>
  <c r="BT198" i="6"/>
  <c r="BT197" i="6"/>
  <c r="BT196" i="6"/>
  <c r="BT195" i="6"/>
  <c r="BT194" i="6"/>
  <c r="BT193" i="6"/>
  <c r="BO192" i="6"/>
  <c r="BJ192" i="6"/>
  <c r="BE192" i="6"/>
  <c r="AZ192" i="6"/>
  <c r="AU192" i="6"/>
  <c r="AP192" i="6"/>
  <c r="AK192" i="6"/>
  <c r="AF192" i="6"/>
  <c r="AA192" i="6"/>
  <c r="V192" i="6"/>
  <c r="Q192" i="6"/>
  <c r="L192" i="6"/>
  <c r="BT181" i="6"/>
  <c r="BT180" i="6"/>
  <c r="BJ179" i="6"/>
  <c r="BE179" i="6"/>
  <c r="AZ179" i="6"/>
  <c r="AU179" i="6"/>
  <c r="AU178" i="6" s="1"/>
  <c r="AP179" i="6"/>
  <c r="AK179" i="6"/>
  <c r="AF179" i="6"/>
  <c r="AA179" i="6"/>
  <c r="V179" i="6"/>
  <c r="BO178" i="6"/>
  <c r="AK178" i="6"/>
  <c r="AA178" i="6"/>
  <c r="Q178" i="6"/>
  <c r="L178" i="6"/>
  <c r="G178" i="6"/>
  <c r="BT176" i="6"/>
  <c r="BT175" i="6"/>
  <c r="BO174" i="6"/>
  <c r="BJ174" i="6"/>
  <c r="AU174" i="6"/>
  <c r="AP174" i="6"/>
  <c r="AK174" i="6"/>
  <c r="AF174" i="6"/>
  <c r="BO173" i="6"/>
  <c r="BE173" i="6"/>
  <c r="AZ173" i="6"/>
  <c r="AP173" i="6"/>
  <c r="AK173" i="6"/>
  <c r="AF173" i="6"/>
  <c r="AA173" i="6"/>
  <c r="V173" i="6"/>
  <c r="Q173" i="6"/>
  <c r="L173" i="6"/>
  <c r="G173" i="6"/>
  <c r="BT171" i="6"/>
  <c r="BT170" i="6"/>
  <c r="BO169" i="6"/>
  <c r="BJ169" i="6"/>
  <c r="BE169" i="6"/>
  <c r="AZ169" i="6"/>
  <c r="AP169" i="6"/>
  <c r="AK169" i="6"/>
  <c r="AF169" i="6"/>
  <c r="AA169" i="6"/>
  <c r="AA168" i="6" s="1"/>
  <c r="V169" i="6"/>
  <c r="L169" i="6"/>
  <c r="AZ168" i="6"/>
  <c r="AU168" i="6"/>
  <c r="AP168" i="6"/>
  <c r="Q168" i="6"/>
  <c r="G168" i="6"/>
  <c r="BT166" i="6"/>
  <c r="BT165" i="6"/>
  <c r="BO164" i="6"/>
  <c r="BJ164" i="6"/>
  <c r="BE164" i="6"/>
  <c r="AZ164" i="6"/>
  <c r="AU164" i="6"/>
  <c r="AP164" i="6"/>
  <c r="AK164" i="6"/>
  <c r="AF164" i="6"/>
  <c r="AA164" i="6"/>
  <c r="V164" i="6"/>
  <c r="Q164" i="6"/>
  <c r="L164" i="6"/>
  <c r="BO163" i="6"/>
  <c r="BE163" i="6"/>
  <c r="AA163" i="6"/>
  <c r="Q163" i="6"/>
  <c r="L163" i="6"/>
  <c r="G163" i="6"/>
  <c r="BT161" i="6"/>
  <c r="BT160" i="6"/>
  <c r="BO159" i="6"/>
  <c r="BJ159" i="6"/>
  <c r="BJ158" i="6" s="1"/>
  <c r="BE159" i="6"/>
  <c r="AZ159" i="6"/>
  <c r="AU159" i="6"/>
  <c r="AU158" i="6" s="1"/>
  <c r="AP159" i="6"/>
  <c r="AP158" i="6" s="1"/>
  <c r="AK159" i="6"/>
  <c r="AF159" i="6"/>
  <c r="AF158" i="6" s="1"/>
  <c r="AA159" i="6"/>
  <c r="V159" i="6"/>
  <c r="Q159" i="6"/>
  <c r="L159" i="6"/>
  <c r="L158" i="6" s="1"/>
  <c r="V158" i="6"/>
  <c r="Q158" i="6"/>
  <c r="G158" i="6"/>
  <c r="BT156" i="6"/>
  <c r="BT155" i="6"/>
  <c r="Q154" i="6"/>
  <c r="L154" i="6"/>
  <c r="L153" i="6" s="1"/>
  <c r="BO153" i="6"/>
  <c r="BJ153" i="6"/>
  <c r="BE153" i="6"/>
  <c r="AZ153" i="6"/>
  <c r="AU153" i="6"/>
  <c r="AP153" i="6"/>
  <c r="AK153" i="6"/>
  <c r="AF153" i="6"/>
  <c r="AA153" i="6"/>
  <c r="V153" i="6"/>
  <c r="G153" i="6"/>
  <c r="BT151" i="6"/>
  <c r="BT150" i="6"/>
  <c r="BT149" i="6"/>
  <c r="BO148" i="6"/>
  <c r="BJ148" i="6"/>
  <c r="BE148" i="6"/>
  <c r="AZ148" i="6"/>
  <c r="AU148" i="6"/>
  <c r="AP148" i="6"/>
  <c r="AK148" i="6"/>
  <c r="AF148" i="6"/>
  <c r="AA148" i="6"/>
  <c r="V148" i="6"/>
  <c r="Q148" i="6"/>
  <c r="L148" i="6"/>
  <c r="G148" i="6"/>
  <c r="BT146" i="6"/>
  <c r="BT145" i="6"/>
  <c r="BO144" i="6"/>
  <c r="BJ144" i="6"/>
  <c r="AZ144" i="6"/>
  <c r="BE143" i="6"/>
  <c r="AZ143" i="6"/>
  <c r="AU143" i="6"/>
  <c r="AP143" i="6"/>
  <c r="AK143" i="6"/>
  <c r="AF143" i="6"/>
  <c r="AA143" i="6"/>
  <c r="V143" i="6"/>
  <c r="Q143" i="6"/>
  <c r="L143" i="6"/>
  <c r="G143" i="6"/>
  <c r="BT141" i="6"/>
  <c r="BT140" i="6"/>
  <c r="BT139" i="6"/>
  <c r="BT138" i="6"/>
  <c r="L138" i="6"/>
  <c r="BO137" i="6"/>
  <c r="BJ137" i="6"/>
  <c r="BE137" i="6"/>
  <c r="AZ137" i="6"/>
  <c r="AU137" i="6"/>
  <c r="AP137" i="6"/>
  <c r="AK137" i="6"/>
  <c r="AF137" i="6"/>
  <c r="AA137" i="6"/>
  <c r="V137" i="6"/>
  <c r="Q137" i="6"/>
  <c r="L137" i="6"/>
  <c r="G137" i="6"/>
  <c r="BT135" i="6"/>
  <c r="BT134" i="6"/>
  <c r="BT133" i="6"/>
  <c r="BT132" i="6"/>
  <c r="BO131" i="6"/>
  <c r="BJ131" i="6"/>
  <c r="BE131" i="6"/>
  <c r="AZ131" i="6"/>
  <c r="AU131" i="6"/>
  <c r="AP131" i="6"/>
  <c r="AK131" i="6"/>
  <c r="AF131" i="6"/>
  <c r="AA131" i="6"/>
  <c r="V131" i="6"/>
  <c r="Q131" i="6"/>
  <c r="L131" i="6"/>
  <c r="G131" i="6"/>
  <c r="BT129" i="6"/>
  <c r="BT128" i="6"/>
  <c r="BT127" i="6"/>
  <c r="BT126" i="6"/>
  <c r="BO125" i="6"/>
  <c r="BJ125" i="6"/>
  <c r="BE125" i="6"/>
  <c r="AZ125" i="6"/>
  <c r="AU125" i="6"/>
  <c r="AP125" i="6"/>
  <c r="AK125" i="6"/>
  <c r="AF125" i="6"/>
  <c r="AA125" i="6"/>
  <c r="V125" i="6"/>
  <c r="Q125" i="6"/>
  <c r="L125" i="6"/>
  <c r="G125" i="6"/>
  <c r="BT123" i="6"/>
  <c r="BT122" i="6"/>
  <c r="BO121" i="6"/>
  <c r="BJ121" i="6"/>
  <c r="BJ120" i="6" s="1"/>
  <c r="AU121" i="6"/>
  <c r="AP121" i="6"/>
  <c r="AK121" i="6"/>
  <c r="BE120" i="6"/>
  <c r="AZ120" i="6"/>
  <c r="AU120" i="6"/>
  <c r="AF120" i="6"/>
  <c r="AA120" i="6"/>
  <c r="V120" i="6"/>
  <c r="Q120" i="6"/>
  <c r="L120" i="6"/>
  <c r="G120" i="6"/>
  <c r="BT118" i="6"/>
  <c r="BT117" i="6"/>
  <c r="BT116" i="6"/>
  <c r="BO115" i="6"/>
  <c r="BJ115" i="6"/>
  <c r="BE115" i="6"/>
  <c r="AZ115" i="6"/>
  <c r="AU115" i="6"/>
  <c r="AP115" i="6"/>
  <c r="AK115" i="6"/>
  <c r="AF115" i="6"/>
  <c r="AA115" i="6"/>
  <c r="V115" i="6"/>
  <c r="Q115" i="6"/>
  <c r="L115" i="6"/>
  <c r="G115" i="6"/>
  <c r="BT113" i="6"/>
  <c r="BT112" i="6"/>
  <c r="BT111" i="6"/>
  <c r="BO110" i="6"/>
  <c r="BJ110" i="6"/>
  <c r="BE110" i="6"/>
  <c r="AZ110" i="6"/>
  <c r="AU110" i="6"/>
  <c r="AP110" i="6"/>
  <c r="AK110" i="6"/>
  <c r="AF110" i="6"/>
  <c r="AA110" i="6"/>
  <c r="V110" i="6"/>
  <c r="Q110" i="6"/>
  <c r="L110" i="6"/>
  <c r="G110" i="6"/>
  <c r="BT108" i="6"/>
  <c r="BT107" i="6"/>
  <c r="BT106" i="6"/>
  <c r="BT105" i="6" s="1"/>
  <c r="BO105" i="6"/>
  <c r="BJ105" i="6"/>
  <c r="BE105" i="6"/>
  <c r="AZ105" i="6"/>
  <c r="AU105" i="6"/>
  <c r="AP105" i="6"/>
  <c r="AK105" i="6"/>
  <c r="AF105" i="6"/>
  <c r="AA105" i="6"/>
  <c r="V105" i="6"/>
  <c r="Q105" i="6"/>
  <c r="L105" i="6"/>
  <c r="G105" i="6"/>
  <c r="BT103" i="6"/>
  <c r="BT102" i="6"/>
  <c r="BT101" i="6"/>
  <c r="BO100" i="6"/>
  <c r="BJ100" i="6"/>
  <c r="BE100" i="6"/>
  <c r="AZ100" i="6"/>
  <c r="AU100" i="6"/>
  <c r="AP100" i="6"/>
  <c r="AK100" i="6"/>
  <c r="AF100" i="6"/>
  <c r="AA100" i="6"/>
  <c r="V100" i="6"/>
  <c r="Q100" i="6"/>
  <c r="L100" i="6"/>
  <c r="G100" i="6"/>
  <c r="BT98" i="6"/>
  <c r="BT97" i="6"/>
  <c r="BT96" i="6"/>
  <c r="BO95" i="6"/>
  <c r="BJ95" i="6"/>
  <c r="BE95" i="6"/>
  <c r="AZ95" i="6"/>
  <c r="AU95" i="6"/>
  <c r="AP95" i="6"/>
  <c r="AK95" i="6"/>
  <c r="AF95" i="6"/>
  <c r="AA95" i="6"/>
  <c r="V95" i="6"/>
  <c r="Q95" i="6"/>
  <c r="L95" i="6"/>
  <c r="G95" i="6"/>
  <c r="BT93" i="6"/>
  <c r="BT92" i="6"/>
  <c r="BT91" i="6"/>
  <c r="BO90" i="6"/>
  <c r="BJ90" i="6"/>
  <c r="BE90" i="6"/>
  <c r="AZ90" i="6"/>
  <c r="AU90" i="6"/>
  <c r="AP90" i="6"/>
  <c r="AK90" i="6"/>
  <c r="AF90" i="6"/>
  <c r="AA90" i="6"/>
  <c r="V90" i="6"/>
  <c r="Q90" i="6"/>
  <c r="L90" i="6"/>
  <c r="G90" i="6"/>
  <c r="BT88" i="6"/>
  <c r="BT87" i="6"/>
  <c r="BT86" i="6"/>
  <c r="BT85" i="6"/>
  <c r="BO84" i="6"/>
  <c r="BJ84" i="6"/>
  <c r="BE84" i="6"/>
  <c r="AZ84" i="6"/>
  <c r="AU84" i="6"/>
  <c r="AP84" i="6"/>
  <c r="AK84" i="6"/>
  <c r="AF84" i="6"/>
  <c r="AA84" i="6"/>
  <c r="V84" i="6"/>
  <c r="Q84" i="6"/>
  <c r="L84" i="6"/>
  <c r="G84" i="6"/>
  <c r="BT82" i="6"/>
  <c r="BT81" i="6"/>
  <c r="BT80" i="6"/>
  <c r="BO79" i="6"/>
  <c r="BJ79" i="6"/>
  <c r="BE79" i="6"/>
  <c r="AZ79" i="6"/>
  <c r="AU79" i="6"/>
  <c r="AP79" i="6"/>
  <c r="AK79" i="6"/>
  <c r="AF79" i="6"/>
  <c r="AA79" i="6"/>
  <c r="V79" i="6"/>
  <c r="Q79" i="6"/>
  <c r="L79" i="6"/>
  <c r="G79" i="6"/>
  <c r="BT77" i="6"/>
  <c r="BT76" i="6"/>
  <c r="BT75" i="6"/>
  <c r="BO74" i="6"/>
  <c r="BJ74" i="6"/>
  <c r="BE74" i="6"/>
  <c r="AZ74" i="6"/>
  <c r="AU74" i="6"/>
  <c r="AU73" i="6" s="1"/>
  <c r="AP74" i="6"/>
  <c r="AK74" i="6"/>
  <c r="AF74" i="6"/>
  <c r="AA74" i="6"/>
  <c r="V74" i="6"/>
  <c r="BJ73" i="6"/>
  <c r="AF73" i="6"/>
  <c r="Q73" i="6"/>
  <c r="L73" i="6"/>
  <c r="G73" i="6"/>
  <c r="BT71" i="6"/>
  <c r="BT70" i="6"/>
  <c r="BT69" i="6"/>
  <c r="BT68" i="6"/>
  <c r="BO67" i="6"/>
  <c r="BJ67" i="6"/>
  <c r="BE67" i="6"/>
  <c r="AZ67" i="6"/>
  <c r="AU67" i="6"/>
  <c r="AP67" i="6"/>
  <c r="AK67" i="6"/>
  <c r="AF67" i="6"/>
  <c r="AA67" i="6"/>
  <c r="V67" i="6"/>
  <c r="Q67" i="6"/>
  <c r="L67" i="6"/>
  <c r="G67" i="6"/>
  <c r="BT65" i="6"/>
  <c r="BT64" i="6"/>
  <c r="BO63" i="6"/>
  <c r="BJ63" i="6"/>
  <c r="BE63" i="6"/>
  <c r="AZ63" i="6"/>
  <c r="AU63" i="6"/>
  <c r="AP63" i="6"/>
  <c r="AK63" i="6"/>
  <c r="AK62" i="6" s="1"/>
  <c r="AF63" i="6"/>
  <c r="AF62" i="6" s="1"/>
  <c r="AA63" i="6"/>
  <c r="V63" i="6"/>
  <c r="Q63" i="6"/>
  <c r="Q62" i="6" s="1"/>
  <c r="L63" i="6"/>
  <c r="BO62" i="6"/>
  <c r="BJ62" i="6"/>
  <c r="G62" i="6"/>
  <c r="BT60" i="6"/>
  <c r="BT59" i="6"/>
  <c r="BO58" i="6"/>
  <c r="BJ58" i="6"/>
  <c r="BJ57" i="6" s="1"/>
  <c r="BE58" i="6"/>
  <c r="AZ58" i="6"/>
  <c r="AU58" i="6"/>
  <c r="AU57" i="6" s="1"/>
  <c r="AK58" i="6"/>
  <c r="AA58" i="6"/>
  <c r="V58" i="6"/>
  <c r="V57" i="6" s="1"/>
  <c r="Q58" i="6"/>
  <c r="L58" i="6"/>
  <c r="BO57" i="6"/>
  <c r="BE57" i="6"/>
  <c r="AP57" i="6"/>
  <c r="AF57" i="6"/>
  <c r="AA57" i="6"/>
  <c r="G57" i="6"/>
  <c r="BT55" i="6"/>
  <c r="BT54" i="6"/>
  <c r="BT53" i="6"/>
  <c r="BO52" i="6"/>
  <c r="BJ52" i="6"/>
  <c r="BE52" i="6"/>
  <c r="BE51" i="6" s="1"/>
  <c r="AZ52" i="6"/>
  <c r="AU52" i="6"/>
  <c r="AP52" i="6"/>
  <c r="AP51" i="6" s="1"/>
  <c r="AK52" i="6"/>
  <c r="AF52" i="6"/>
  <c r="AA52" i="6"/>
  <c r="AA51" i="6" s="1"/>
  <c r="V52" i="6"/>
  <c r="Q52" i="6"/>
  <c r="L52" i="6"/>
  <c r="AU51" i="6"/>
  <c r="Q51" i="6"/>
  <c r="L51" i="6"/>
  <c r="G51" i="6"/>
  <c r="BT49" i="6"/>
  <c r="BT48" i="6"/>
  <c r="BT47" i="6"/>
  <c r="BO46" i="6"/>
  <c r="BJ46" i="6"/>
  <c r="BJ45" i="6" s="1"/>
  <c r="AZ46" i="6"/>
  <c r="AU46" i="6"/>
  <c r="AP46" i="6"/>
  <c r="AF46" i="6"/>
  <c r="V46" i="6"/>
  <c r="V45" i="6" s="1"/>
  <c r="Q46" i="6"/>
  <c r="Q45" i="6" s="1"/>
  <c r="L46" i="6"/>
  <c r="BE45" i="6"/>
  <c r="AP45" i="6"/>
  <c r="AK45" i="6"/>
  <c r="AA45" i="6"/>
  <c r="G45" i="6"/>
  <c r="BT43" i="6"/>
  <c r="BT42" i="6"/>
  <c r="BT41" i="6"/>
  <c r="BO40" i="6"/>
  <c r="BJ40" i="6"/>
  <c r="BE40" i="6"/>
  <c r="BE39" i="6" s="1"/>
  <c r="AZ40" i="6"/>
  <c r="AU40" i="6"/>
  <c r="AP40" i="6"/>
  <c r="AK40" i="6"/>
  <c r="AF40" i="6"/>
  <c r="AA40" i="6"/>
  <c r="AA39" i="6" s="1"/>
  <c r="V40" i="6"/>
  <c r="Q40" i="6"/>
  <c r="L40" i="6"/>
  <c r="AU39" i="6"/>
  <c r="AP39" i="6"/>
  <c r="AF39" i="6"/>
  <c r="Q39" i="6"/>
  <c r="L39" i="6"/>
  <c r="G39" i="6"/>
  <c r="BT37" i="6"/>
  <c r="BT36" i="6"/>
  <c r="BT35" i="6"/>
  <c r="BO34" i="6"/>
  <c r="BJ34" i="6"/>
  <c r="BE34" i="6"/>
  <c r="AZ34" i="6"/>
  <c r="AZ33" i="6" s="1"/>
  <c r="AU34" i="6"/>
  <c r="AU33" i="6" s="1"/>
  <c r="AP34" i="6"/>
  <c r="AK34" i="6"/>
  <c r="AF34" i="6"/>
  <c r="AA34" i="6"/>
  <c r="V34" i="6"/>
  <c r="V33" i="6" s="1"/>
  <c r="Q34" i="6"/>
  <c r="Q33" i="6" s="1"/>
  <c r="L34" i="6"/>
  <c r="BO33" i="6"/>
  <c r="BJ33" i="6"/>
  <c r="AK33" i="6"/>
  <c r="AF33" i="6"/>
  <c r="G33" i="6"/>
  <c r="BT31" i="6"/>
  <c r="BT30" i="6"/>
  <c r="BT29" i="6"/>
  <c r="BJ28" i="6"/>
  <c r="BE28" i="6"/>
  <c r="AZ28" i="6"/>
  <c r="AU28" i="6"/>
  <c r="AU27" i="6" s="1"/>
  <c r="AP28" i="6"/>
  <c r="AK28" i="6"/>
  <c r="AF28" i="6"/>
  <c r="AA28" i="6"/>
  <c r="V28" i="6"/>
  <c r="Q28" i="6"/>
  <c r="L28" i="6"/>
  <c r="BO27" i="6"/>
  <c r="BJ27" i="6"/>
  <c r="AZ27" i="6"/>
  <c r="AK27" i="6"/>
  <c r="AF27" i="6"/>
  <c r="V27" i="6"/>
  <c r="G27" i="6"/>
  <c r="BT25" i="6"/>
  <c r="BT24" i="6"/>
  <c r="BO24" i="6"/>
  <c r="BJ24" i="6"/>
  <c r="BE24" i="6"/>
  <c r="AZ24" i="6"/>
  <c r="AU24" i="6"/>
  <c r="AP24" i="6"/>
  <c r="AK24" i="6"/>
  <c r="AF24" i="6"/>
  <c r="AA24" i="6"/>
  <c r="V24" i="6"/>
  <c r="Q24" i="6"/>
  <c r="L24" i="6"/>
  <c r="G24" i="6"/>
  <c r="BO22" i="6"/>
  <c r="BJ22" i="6"/>
  <c r="BE22" i="6"/>
  <c r="AZ22" i="6"/>
  <c r="AU22" i="6"/>
  <c r="AP22" i="6"/>
  <c r="AK22" i="6"/>
  <c r="AF22" i="6"/>
  <c r="AA22" i="6"/>
  <c r="V22" i="6"/>
  <c r="Q22" i="6"/>
  <c r="L22" i="6"/>
  <c r="BO21" i="6"/>
  <c r="BJ21" i="6"/>
  <c r="BE21" i="6"/>
  <c r="AZ21" i="6"/>
  <c r="AU21" i="6"/>
  <c r="AP21" i="6"/>
  <c r="AK21" i="6"/>
  <c r="AF21" i="6"/>
  <c r="AA21" i="6"/>
  <c r="V21" i="6"/>
  <c r="Q21" i="6"/>
  <c r="L21" i="6"/>
  <c r="BO20" i="6"/>
  <c r="BJ20" i="6"/>
  <c r="BE20" i="6"/>
  <c r="AZ20" i="6"/>
  <c r="AU20" i="6"/>
  <c r="AP20" i="6"/>
  <c r="AK20" i="6"/>
  <c r="AF20" i="6"/>
  <c r="AA20" i="6"/>
  <c r="V20" i="6"/>
  <c r="Q20" i="6"/>
  <c r="L20" i="6"/>
  <c r="G19" i="6"/>
  <c r="AU16" i="6"/>
  <c r="G9" i="6"/>
  <c r="G189" i="6" s="1"/>
  <c r="G8" i="6"/>
  <c r="G188" i="6" s="1"/>
  <c r="M1" i="6"/>
  <c r="BW145" i="5"/>
  <c r="BW143" i="5"/>
  <c r="BW142" i="5"/>
  <c r="BW141" i="5"/>
  <c r="BW140" i="5"/>
  <c r="BW138" i="5"/>
  <c r="BW134" i="5"/>
  <c r="BW133" i="5"/>
  <c r="BW131" i="5"/>
  <c r="BW130" i="5"/>
  <c r="BW127" i="5"/>
  <c r="BW126" i="5"/>
  <c r="BW124" i="5"/>
  <c r="BW123" i="5"/>
  <c r="BW120" i="5"/>
  <c r="BW119" i="5"/>
  <c r="BW116" i="5"/>
  <c r="BW115" i="5"/>
  <c r="BU112" i="5"/>
  <c r="BT112" i="5"/>
  <c r="BS112" i="5"/>
  <c r="BR112" i="5"/>
  <c r="BQ112" i="5"/>
  <c r="BP112" i="5"/>
  <c r="BO112" i="5"/>
  <c r="BN112" i="5"/>
  <c r="BM112" i="5"/>
  <c r="BL112" i="5"/>
  <c r="BK112" i="5"/>
  <c r="BJ112" i="5"/>
  <c r="BI112" i="5"/>
  <c r="BH112" i="5"/>
  <c r="BG112" i="5"/>
  <c r="BF112" i="5"/>
  <c r="BE112" i="5"/>
  <c r="BD112" i="5"/>
  <c r="BC112" i="5"/>
  <c r="BB112" i="5"/>
  <c r="BA112" i="5"/>
  <c r="AZ112" i="5"/>
  <c r="AY112" i="5"/>
  <c r="AX112" i="5"/>
  <c r="AW112" i="5"/>
  <c r="AV112" i="5"/>
  <c r="AU112" i="5"/>
  <c r="AT112" i="5"/>
  <c r="AS112" i="5"/>
  <c r="AR112" i="5"/>
  <c r="AQ112" i="5"/>
  <c r="AP112" i="5"/>
  <c r="AO112" i="5"/>
  <c r="AN112" i="5"/>
  <c r="AM112" i="5"/>
  <c r="AL112" i="5"/>
  <c r="AK112"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BT111" i="5"/>
  <c r="BS111" i="5"/>
  <c r="BR111" i="5"/>
  <c r="BQ111" i="5"/>
  <c r="BO111" i="5"/>
  <c r="BN111" i="5"/>
  <c r="BM111" i="5"/>
  <c r="BL111" i="5"/>
  <c r="BJ111" i="5"/>
  <c r="BI111" i="5"/>
  <c r="BH111" i="5"/>
  <c r="BG111" i="5"/>
  <c r="BE111" i="5"/>
  <c r="BD111" i="5"/>
  <c r="BC111" i="5"/>
  <c r="BB111" i="5"/>
  <c r="AZ111" i="5"/>
  <c r="AY111" i="5"/>
  <c r="AX111" i="5"/>
  <c r="AW111" i="5"/>
  <c r="AU111" i="5"/>
  <c r="AT111" i="5"/>
  <c r="AS111" i="5"/>
  <c r="AR111" i="5"/>
  <c r="AP111" i="5"/>
  <c r="AO111" i="5"/>
  <c r="AN111" i="5"/>
  <c r="AM111" i="5"/>
  <c r="AK111" i="5"/>
  <c r="AJ111" i="5"/>
  <c r="AI111" i="5"/>
  <c r="AH111" i="5"/>
  <c r="AF111" i="5"/>
  <c r="AE111" i="5"/>
  <c r="AD111" i="5"/>
  <c r="AC111" i="5"/>
  <c r="AA111" i="5"/>
  <c r="Z111" i="5"/>
  <c r="Y111" i="5"/>
  <c r="X111" i="5"/>
  <c r="V111" i="5"/>
  <c r="U111" i="5"/>
  <c r="T111" i="5"/>
  <c r="S111" i="5"/>
  <c r="Q111" i="5"/>
  <c r="P111" i="5"/>
  <c r="O111" i="5"/>
  <c r="N111" i="5"/>
  <c r="BT110" i="5"/>
  <c r="BS110" i="5"/>
  <c r="BR110" i="5"/>
  <c r="BQ110" i="5"/>
  <c r="BO110" i="5"/>
  <c r="BN110" i="5"/>
  <c r="BM110" i="5"/>
  <c r="BL110" i="5"/>
  <c r="BJ110" i="5"/>
  <c r="BI110" i="5"/>
  <c r="BH110" i="5"/>
  <c r="BG110" i="5"/>
  <c r="BE110" i="5"/>
  <c r="BD110" i="5"/>
  <c r="BC110" i="5"/>
  <c r="BB110" i="5"/>
  <c r="AZ110" i="5"/>
  <c r="AY110" i="5"/>
  <c r="AX110" i="5"/>
  <c r="AW110" i="5"/>
  <c r="AU110" i="5"/>
  <c r="AT110" i="5"/>
  <c r="AS110" i="5"/>
  <c r="AR110" i="5"/>
  <c r="AP110" i="5"/>
  <c r="AO110" i="5"/>
  <c r="AN110" i="5"/>
  <c r="AM110" i="5"/>
  <c r="AK110" i="5"/>
  <c r="AJ110" i="5"/>
  <c r="AI110" i="5"/>
  <c r="AH110" i="5"/>
  <c r="AF110" i="5"/>
  <c r="AE110" i="5"/>
  <c r="AD110" i="5"/>
  <c r="AC110" i="5"/>
  <c r="AA110" i="5"/>
  <c r="Z110" i="5"/>
  <c r="Y110" i="5"/>
  <c r="X110" i="5"/>
  <c r="V110" i="5"/>
  <c r="U110" i="5"/>
  <c r="T110" i="5"/>
  <c r="S110" i="5"/>
  <c r="Q110" i="5"/>
  <c r="P110" i="5"/>
  <c r="O110" i="5"/>
  <c r="N110" i="5"/>
  <c r="BW109" i="5"/>
  <c r="BW108" i="5" s="1"/>
  <c r="BU109" i="5"/>
  <c r="BT109" i="5"/>
  <c r="BS109" i="5"/>
  <c r="BR109" i="5"/>
  <c r="BQ109" i="5"/>
  <c r="BP109" i="5"/>
  <c r="BO109" i="5"/>
  <c r="BN109" i="5"/>
  <c r="BM109" i="5"/>
  <c r="BL109" i="5"/>
  <c r="BK109" i="5"/>
  <c r="BJ109" i="5"/>
  <c r="BI109" i="5"/>
  <c r="BH109" i="5"/>
  <c r="BG109" i="5"/>
  <c r="BF109" i="5"/>
  <c r="BE109" i="5"/>
  <c r="BD109" i="5"/>
  <c r="BC109" i="5"/>
  <c r="BB109" i="5"/>
  <c r="BA109" i="5"/>
  <c r="AZ109" i="5"/>
  <c r="AY109" i="5"/>
  <c r="AX109" i="5"/>
  <c r="AW109" i="5"/>
  <c r="AV109" i="5"/>
  <c r="AU109" i="5"/>
  <c r="AT109" i="5"/>
  <c r="AS109" i="5"/>
  <c r="AR109" i="5"/>
  <c r="AQ109" i="5"/>
  <c r="AP109" i="5"/>
  <c r="AO109" i="5"/>
  <c r="AN109" i="5"/>
  <c r="AM109" i="5"/>
  <c r="AL109" i="5"/>
  <c r="AK109"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BT108" i="5"/>
  <c r="BS108" i="5"/>
  <c r="BR108" i="5"/>
  <c r="BQ108" i="5"/>
  <c r="BO108" i="5"/>
  <c r="BN108" i="5"/>
  <c r="BM108" i="5"/>
  <c r="BL108" i="5"/>
  <c r="BJ108" i="5"/>
  <c r="BI108" i="5"/>
  <c r="BH108" i="5"/>
  <c r="BG108" i="5"/>
  <c r="BE108" i="5"/>
  <c r="BD108" i="5"/>
  <c r="BC108" i="5"/>
  <c r="BB108" i="5"/>
  <c r="AZ108" i="5"/>
  <c r="AY108" i="5"/>
  <c r="AX108" i="5"/>
  <c r="AW108" i="5"/>
  <c r="AU108" i="5"/>
  <c r="AT108" i="5"/>
  <c r="AS108" i="5"/>
  <c r="AR108" i="5"/>
  <c r="AP108" i="5"/>
  <c r="AO108" i="5"/>
  <c r="AN108" i="5"/>
  <c r="AM108" i="5"/>
  <c r="AK108" i="5"/>
  <c r="AJ108" i="5"/>
  <c r="AI108" i="5"/>
  <c r="AH108" i="5"/>
  <c r="AF108" i="5"/>
  <c r="AE108" i="5"/>
  <c r="AD108" i="5"/>
  <c r="AC108" i="5"/>
  <c r="AA108" i="5"/>
  <c r="Z108" i="5"/>
  <c r="Y108" i="5"/>
  <c r="X108" i="5"/>
  <c r="V108" i="5"/>
  <c r="U108" i="5"/>
  <c r="T108" i="5"/>
  <c r="S108" i="5"/>
  <c r="Q108" i="5"/>
  <c r="P108" i="5"/>
  <c r="O108" i="5"/>
  <c r="N108" i="5"/>
  <c r="BT107" i="5"/>
  <c r="BS107" i="5"/>
  <c r="BR107" i="5"/>
  <c r="BQ107" i="5"/>
  <c r="BO107" i="5"/>
  <c r="BN107" i="5"/>
  <c r="BM107" i="5"/>
  <c r="BL107" i="5"/>
  <c r="BJ107" i="5"/>
  <c r="BI107" i="5"/>
  <c r="BH107" i="5"/>
  <c r="BG107" i="5"/>
  <c r="BE107" i="5"/>
  <c r="BD107" i="5"/>
  <c r="BC107" i="5"/>
  <c r="BB107" i="5"/>
  <c r="AZ107" i="5"/>
  <c r="AY107" i="5"/>
  <c r="AX107" i="5"/>
  <c r="AW107" i="5"/>
  <c r="AU107" i="5"/>
  <c r="AT107" i="5"/>
  <c r="AS107" i="5"/>
  <c r="AR107" i="5"/>
  <c r="AP107" i="5"/>
  <c r="AO107" i="5"/>
  <c r="AN107" i="5"/>
  <c r="AM107" i="5"/>
  <c r="AK107" i="5"/>
  <c r="AJ107" i="5"/>
  <c r="AI107" i="5"/>
  <c r="AH107" i="5"/>
  <c r="AF107" i="5"/>
  <c r="AE107" i="5"/>
  <c r="AD107" i="5"/>
  <c r="AC107" i="5"/>
  <c r="AA107" i="5"/>
  <c r="Z107" i="5"/>
  <c r="Y107" i="5"/>
  <c r="X107" i="5"/>
  <c r="V107" i="5"/>
  <c r="U107" i="5"/>
  <c r="T107" i="5"/>
  <c r="S107" i="5"/>
  <c r="Q107" i="5"/>
  <c r="P107" i="5"/>
  <c r="O107" i="5"/>
  <c r="N107" i="5"/>
  <c r="BW106" i="5"/>
  <c r="BT106" i="5"/>
  <c r="BS106" i="5"/>
  <c r="BR106" i="5"/>
  <c r="BQ106" i="5"/>
  <c r="BO106" i="5"/>
  <c r="BN106" i="5"/>
  <c r="BM106" i="5"/>
  <c r="BL106" i="5"/>
  <c r="BJ106" i="5"/>
  <c r="BI106" i="5"/>
  <c r="BH106" i="5"/>
  <c r="BG106" i="5"/>
  <c r="BE106" i="5"/>
  <c r="BD106" i="5"/>
  <c r="BC106" i="5"/>
  <c r="BB106" i="5"/>
  <c r="AZ106" i="5"/>
  <c r="AY106" i="5"/>
  <c r="AX106" i="5"/>
  <c r="AW106" i="5"/>
  <c r="AU106" i="5"/>
  <c r="AT106" i="5"/>
  <c r="AS106" i="5"/>
  <c r="AR106" i="5"/>
  <c r="AP106" i="5"/>
  <c r="AO106" i="5"/>
  <c r="AN106" i="5"/>
  <c r="AM106" i="5"/>
  <c r="AK106" i="5"/>
  <c r="AJ106" i="5"/>
  <c r="AI106" i="5"/>
  <c r="AH106" i="5"/>
  <c r="AF106" i="5"/>
  <c r="AE106" i="5"/>
  <c r="AD106" i="5"/>
  <c r="AC106" i="5"/>
  <c r="AA106" i="5"/>
  <c r="Z106" i="5"/>
  <c r="Y106" i="5"/>
  <c r="X106" i="5"/>
  <c r="V106" i="5"/>
  <c r="U106" i="5"/>
  <c r="T106" i="5"/>
  <c r="S106" i="5"/>
  <c r="Q106" i="5"/>
  <c r="P106" i="5"/>
  <c r="O106" i="5"/>
  <c r="N106" i="5"/>
  <c r="BW105" i="5"/>
  <c r="BU105" i="5"/>
  <c r="BT105" i="5"/>
  <c r="BS105" i="5"/>
  <c r="BR105" i="5"/>
  <c r="BQ105" i="5"/>
  <c r="BP105" i="5"/>
  <c r="BO105" i="5"/>
  <c r="BN105" i="5"/>
  <c r="BM105" i="5"/>
  <c r="BL105" i="5"/>
  <c r="BK105" i="5"/>
  <c r="BJ105" i="5"/>
  <c r="BI105" i="5"/>
  <c r="BH105" i="5"/>
  <c r="BG105" i="5"/>
  <c r="BF105" i="5"/>
  <c r="BE105" i="5"/>
  <c r="BD105" i="5"/>
  <c r="BC105" i="5"/>
  <c r="BB105" i="5"/>
  <c r="BA105" i="5"/>
  <c r="AZ105" i="5"/>
  <c r="AY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BT104" i="5"/>
  <c r="BS104" i="5"/>
  <c r="BR104" i="5"/>
  <c r="BQ104" i="5"/>
  <c r="BO104" i="5"/>
  <c r="BN104" i="5"/>
  <c r="BM104" i="5"/>
  <c r="BL104" i="5"/>
  <c r="BJ104" i="5"/>
  <c r="BI104" i="5"/>
  <c r="BH104" i="5"/>
  <c r="BG104" i="5"/>
  <c r="BE104" i="5"/>
  <c r="BD104" i="5"/>
  <c r="BC104" i="5"/>
  <c r="BB104" i="5"/>
  <c r="AZ104" i="5"/>
  <c r="AY104" i="5"/>
  <c r="AX104" i="5"/>
  <c r="AW104" i="5"/>
  <c r="AU104" i="5"/>
  <c r="AT104" i="5"/>
  <c r="AS104" i="5"/>
  <c r="AR104" i="5"/>
  <c r="AP104" i="5"/>
  <c r="AO104" i="5"/>
  <c r="AN104" i="5"/>
  <c r="AM104" i="5"/>
  <c r="AK104" i="5"/>
  <c r="AJ104" i="5"/>
  <c r="AI104" i="5"/>
  <c r="AH104" i="5"/>
  <c r="AF104" i="5"/>
  <c r="AE104" i="5"/>
  <c r="AD104" i="5"/>
  <c r="AC104" i="5"/>
  <c r="AA104" i="5"/>
  <c r="Z104" i="5"/>
  <c r="Y104" i="5"/>
  <c r="X104" i="5"/>
  <c r="V104" i="5"/>
  <c r="U104" i="5"/>
  <c r="T104" i="5"/>
  <c r="S104" i="5"/>
  <c r="Q104" i="5"/>
  <c r="P104" i="5"/>
  <c r="O104" i="5"/>
  <c r="N104" i="5"/>
  <c r="BT103" i="5"/>
  <c r="BS103" i="5"/>
  <c r="BR103" i="5"/>
  <c r="BQ103" i="5"/>
  <c r="BO103" i="5"/>
  <c r="BN103" i="5"/>
  <c r="BM103" i="5"/>
  <c r="BL103" i="5"/>
  <c r="BJ103" i="5"/>
  <c r="BI103" i="5"/>
  <c r="BH103" i="5"/>
  <c r="BG103" i="5"/>
  <c r="BE103" i="5"/>
  <c r="BD103" i="5"/>
  <c r="BC103" i="5"/>
  <c r="BB103" i="5"/>
  <c r="AZ103" i="5"/>
  <c r="AY103" i="5"/>
  <c r="AX103" i="5"/>
  <c r="AW103" i="5"/>
  <c r="AU103" i="5"/>
  <c r="AT103" i="5"/>
  <c r="AS103" i="5"/>
  <c r="AR103" i="5"/>
  <c r="AP103" i="5"/>
  <c r="AO103" i="5"/>
  <c r="AN103" i="5"/>
  <c r="AM103" i="5"/>
  <c r="AK103" i="5"/>
  <c r="AJ103" i="5"/>
  <c r="AI103" i="5"/>
  <c r="AH103" i="5"/>
  <c r="AF103" i="5"/>
  <c r="AE103" i="5"/>
  <c r="AD103" i="5"/>
  <c r="AC103" i="5"/>
  <c r="AA103" i="5"/>
  <c r="Z103" i="5"/>
  <c r="Y103" i="5"/>
  <c r="X103" i="5"/>
  <c r="V103" i="5"/>
  <c r="U103" i="5"/>
  <c r="T103" i="5"/>
  <c r="S103" i="5"/>
  <c r="Q103" i="5"/>
  <c r="P103" i="5"/>
  <c r="O103" i="5"/>
  <c r="N103" i="5"/>
  <c r="BW102" i="5"/>
  <c r="BT102" i="5"/>
  <c r="BS102" i="5"/>
  <c r="BR102" i="5"/>
  <c r="BQ102" i="5"/>
  <c r="BO102" i="5"/>
  <c r="BN102" i="5"/>
  <c r="BM102" i="5"/>
  <c r="BL102" i="5"/>
  <c r="BJ102" i="5"/>
  <c r="BI102" i="5"/>
  <c r="BH102" i="5"/>
  <c r="BG102" i="5"/>
  <c r="BE102" i="5"/>
  <c r="BD102" i="5"/>
  <c r="BC102" i="5"/>
  <c r="BB102" i="5"/>
  <c r="AZ102" i="5"/>
  <c r="AY102" i="5"/>
  <c r="AX102" i="5"/>
  <c r="AW102" i="5"/>
  <c r="AU102" i="5"/>
  <c r="AT102" i="5"/>
  <c r="AS102" i="5"/>
  <c r="AR102" i="5"/>
  <c r="AP102" i="5"/>
  <c r="AO102" i="5"/>
  <c r="AN102" i="5"/>
  <c r="AM102" i="5"/>
  <c r="AK102" i="5"/>
  <c r="AJ102" i="5"/>
  <c r="AI102" i="5"/>
  <c r="AH102" i="5"/>
  <c r="AF102" i="5"/>
  <c r="AE102" i="5"/>
  <c r="AD102" i="5"/>
  <c r="AC102" i="5"/>
  <c r="AA102" i="5"/>
  <c r="Z102" i="5"/>
  <c r="Y102" i="5"/>
  <c r="X102" i="5"/>
  <c r="V102" i="5"/>
  <c r="U102" i="5"/>
  <c r="T102" i="5"/>
  <c r="S102" i="5"/>
  <c r="Q102" i="5"/>
  <c r="P102" i="5"/>
  <c r="O102" i="5"/>
  <c r="N102" i="5"/>
  <c r="BW101" i="5"/>
  <c r="BT101" i="5"/>
  <c r="BS101" i="5"/>
  <c r="BR101" i="5"/>
  <c r="BQ101" i="5"/>
  <c r="BO101" i="5"/>
  <c r="BN101" i="5"/>
  <c r="BM101" i="5"/>
  <c r="BL101" i="5"/>
  <c r="BJ101" i="5"/>
  <c r="BI101" i="5"/>
  <c r="BH101" i="5"/>
  <c r="BG101" i="5"/>
  <c r="BE101" i="5"/>
  <c r="BD101" i="5"/>
  <c r="BC101" i="5"/>
  <c r="BB101" i="5"/>
  <c r="AZ101" i="5"/>
  <c r="AY101" i="5"/>
  <c r="AX101" i="5"/>
  <c r="AW101" i="5"/>
  <c r="AU101" i="5"/>
  <c r="AT101" i="5"/>
  <c r="AS101" i="5"/>
  <c r="AR101" i="5"/>
  <c r="AP101" i="5"/>
  <c r="AO101" i="5"/>
  <c r="AN101" i="5"/>
  <c r="AM101" i="5"/>
  <c r="AK101" i="5"/>
  <c r="AJ101" i="5"/>
  <c r="AI101" i="5"/>
  <c r="AH101" i="5"/>
  <c r="AF101" i="5"/>
  <c r="AE101" i="5"/>
  <c r="AD101" i="5"/>
  <c r="AC101" i="5"/>
  <c r="AA101" i="5"/>
  <c r="Z101" i="5"/>
  <c r="Y101" i="5"/>
  <c r="X101" i="5"/>
  <c r="V101" i="5"/>
  <c r="U101" i="5"/>
  <c r="T101" i="5"/>
  <c r="S101" i="5"/>
  <c r="Q101" i="5"/>
  <c r="P101" i="5"/>
  <c r="O101" i="5"/>
  <c r="N101" i="5"/>
  <c r="BW100" i="5"/>
  <c r="BU100" i="5"/>
  <c r="BT100" i="5"/>
  <c r="BS100" i="5"/>
  <c r="BR100" i="5"/>
  <c r="BQ100" i="5"/>
  <c r="BP100" i="5"/>
  <c r="BO100" i="5"/>
  <c r="BN100" i="5"/>
  <c r="BM100" i="5"/>
  <c r="BL100" i="5"/>
  <c r="BK100" i="5"/>
  <c r="BJ100" i="5"/>
  <c r="BI100" i="5"/>
  <c r="BH100" i="5"/>
  <c r="BG100" i="5"/>
  <c r="BF100" i="5"/>
  <c r="BE100" i="5"/>
  <c r="BD100" i="5"/>
  <c r="BC100" i="5"/>
  <c r="BB100" i="5"/>
  <c r="BA100" i="5"/>
  <c r="AZ100" i="5"/>
  <c r="AY100" i="5"/>
  <c r="AX100" i="5"/>
  <c r="AW100" i="5"/>
  <c r="AV100" i="5"/>
  <c r="AU100" i="5"/>
  <c r="AT100" i="5"/>
  <c r="AS100" i="5"/>
  <c r="AR100" i="5"/>
  <c r="AQ100" i="5"/>
  <c r="AP100" i="5"/>
  <c r="AO100" i="5"/>
  <c r="AN100" i="5"/>
  <c r="AM100" i="5"/>
  <c r="AL100"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BT99" i="5"/>
  <c r="BS99" i="5"/>
  <c r="BR99" i="5"/>
  <c r="BQ99" i="5"/>
  <c r="BO99" i="5"/>
  <c r="BN99" i="5"/>
  <c r="BM99" i="5"/>
  <c r="BL99" i="5"/>
  <c r="BJ99" i="5"/>
  <c r="BI99" i="5"/>
  <c r="BH99" i="5"/>
  <c r="BG99" i="5"/>
  <c r="BE99" i="5"/>
  <c r="BD99" i="5"/>
  <c r="BC99" i="5"/>
  <c r="BB99" i="5"/>
  <c r="AZ99" i="5"/>
  <c r="AY99" i="5"/>
  <c r="AX99" i="5"/>
  <c r="AW99" i="5"/>
  <c r="AU99" i="5"/>
  <c r="AT99" i="5"/>
  <c r="AS99" i="5"/>
  <c r="AR99" i="5"/>
  <c r="AP99" i="5"/>
  <c r="AO99" i="5"/>
  <c r="AN99" i="5"/>
  <c r="AM99" i="5"/>
  <c r="AK99" i="5"/>
  <c r="AJ99" i="5"/>
  <c r="AI99" i="5"/>
  <c r="AH99" i="5"/>
  <c r="AF99" i="5"/>
  <c r="AE99" i="5"/>
  <c r="AD99" i="5"/>
  <c r="AC99" i="5"/>
  <c r="AA99" i="5"/>
  <c r="Z99" i="5"/>
  <c r="Y99" i="5"/>
  <c r="X99" i="5"/>
  <c r="V99" i="5"/>
  <c r="U99" i="5"/>
  <c r="T99" i="5"/>
  <c r="S99" i="5"/>
  <c r="Q99" i="5"/>
  <c r="P99" i="5"/>
  <c r="O99" i="5"/>
  <c r="N99" i="5"/>
  <c r="BT98" i="5"/>
  <c r="BS98" i="5"/>
  <c r="BR98" i="5"/>
  <c r="BQ98" i="5"/>
  <c r="BO98" i="5"/>
  <c r="BN98" i="5"/>
  <c r="BM98" i="5"/>
  <c r="BL98" i="5"/>
  <c r="BJ98" i="5"/>
  <c r="BI98" i="5"/>
  <c r="BH98" i="5"/>
  <c r="BG98" i="5"/>
  <c r="BE98" i="5"/>
  <c r="BD98" i="5"/>
  <c r="BC98" i="5"/>
  <c r="BB98" i="5"/>
  <c r="AZ98" i="5"/>
  <c r="AY98" i="5"/>
  <c r="AX98" i="5"/>
  <c r="AW98" i="5"/>
  <c r="AU98" i="5"/>
  <c r="AT98" i="5"/>
  <c r="AS98" i="5"/>
  <c r="AR98" i="5"/>
  <c r="AP98" i="5"/>
  <c r="AO98" i="5"/>
  <c r="AN98" i="5"/>
  <c r="AM98" i="5"/>
  <c r="AK98" i="5"/>
  <c r="AJ98" i="5"/>
  <c r="AI98" i="5"/>
  <c r="AH98" i="5"/>
  <c r="AF98" i="5"/>
  <c r="AE98" i="5"/>
  <c r="AD98" i="5"/>
  <c r="AC98" i="5"/>
  <c r="AA98" i="5"/>
  <c r="Z98" i="5"/>
  <c r="Y98" i="5"/>
  <c r="X98" i="5"/>
  <c r="V98" i="5"/>
  <c r="U98" i="5"/>
  <c r="T98" i="5"/>
  <c r="S98" i="5"/>
  <c r="Q98" i="5"/>
  <c r="P98" i="5"/>
  <c r="O98" i="5"/>
  <c r="N98" i="5"/>
  <c r="BW97" i="5"/>
  <c r="BU97" i="5"/>
  <c r="BT97" i="5"/>
  <c r="BS97" i="5"/>
  <c r="BR97" i="5"/>
  <c r="BQ97" i="5"/>
  <c r="BP97" i="5"/>
  <c r="BO97" i="5"/>
  <c r="BN97" i="5"/>
  <c r="BM97" i="5"/>
  <c r="BL97" i="5"/>
  <c r="BK97" i="5"/>
  <c r="BJ97" i="5"/>
  <c r="BI97" i="5"/>
  <c r="BH97" i="5"/>
  <c r="BG97" i="5"/>
  <c r="BF97" i="5"/>
  <c r="BE97" i="5"/>
  <c r="BD97" i="5"/>
  <c r="BC97" i="5"/>
  <c r="BB97" i="5"/>
  <c r="BA97" i="5"/>
  <c r="AZ97" i="5"/>
  <c r="AY97" i="5"/>
  <c r="AX97" i="5"/>
  <c r="AW97" i="5"/>
  <c r="AV97" i="5"/>
  <c r="AU97" i="5"/>
  <c r="AT97" i="5"/>
  <c r="AS97" i="5"/>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BW96" i="5"/>
  <c r="BT96" i="5"/>
  <c r="BS96" i="5"/>
  <c r="BR96" i="5"/>
  <c r="BQ96" i="5"/>
  <c r="BO96" i="5"/>
  <c r="BN96" i="5"/>
  <c r="BM96" i="5"/>
  <c r="BL96" i="5"/>
  <c r="BJ96" i="5"/>
  <c r="BI96" i="5"/>
  <c r="BH96" i="5"/>
  <c r="BG96" i="5"/>
  <c r="BE96" i="5"/>
  <c r="BD96" i="5"/>
  <c r="BC96" i="5"/>
  <c r="BB96" i="5"/>
  <c r="AZ96" i="5"/>
  <c r="AY96" i="5"/>
  <c r="AX96" i="5"/>
  <c r="AW96" i="5"/>
  <c r="AU96" i="5"/>
  <c r="AT96" i="5"/>
  <c r="AS96" i="5"/>
  <c r="AR96" i="5"/>
  <c r="AP96" i="5"/>
  <c r="AO96" i="5"/>
  <c r="AN96" i="5"/>
  <c r="AM96" i="5"/>
  <c r="AK96" i="5"/>
  <c r="AJ96" i="5"/>
  <c r="AI96" i="5"/>
  <c r="AH96" i="5"/>
  <c r="AF96" i="5"/>
  <c r="AE96" i="5"/>
  <c r="AD96" i="5"/>
  <c r="AC96" i="5"/>
  <c r="AA96" i="5"/>
  <c r="Z96" i="5"/>
  <c r="Y96" i="5"/>
  <c r="X96" i="5"/>
  <c r="V96" i="5"/>
  <c r="U96" i="5"/>
  <c r="T96" i="5"/>
  <c r="S96" i="5"/>
  <c r="Q96" i="5"/>
  <c r="P96" i="5"/>
  <c r="O96" i="5"/>
  <c r="N96" i="5"/>
  <c r="BT95" i="5"/>
  <c r="BS95" i="5"/>
  <c r="BR95" i="5"/>
  <c r="BQ95" i="5"/>
  <c r="BO95" i="5"/>
  <c r="BN95" i="5"/>
  <c r="BM95" i="5"/>
  <c r="BL95" i="5"/>
  <c r="BJ95" i="5"/>
  <c r="BI95" i="5"/>
  <c r="BH95" i="5"/>
  <c r="BG95" i="5"/>
  <c r="BE95" i="5"/>
  <c r="BD95" i="5"/>
  <c r="BC95" i="5"/>
  <c r="BB95" i="5"/>
  <c r="AZ95" i="5"/>
  <c r="AY95" i="5"/>
  <c r="AX95" i="5"/>
  <c r="AW95" i="5"/>
  <c r="AU95" i="5"/>
  <c r="AT95" i="5"/>
  <c r="AS95" i="5"/>
  <c r="AR95" i="5"/>
  <c r="AP95" i="5"/>
  <c r="AO95" i="5"/>
  <c r="AN95" i="5"/>
  <c r="AM95" i="5"/>
  <c r="AK95" i="5"/>
  <c r="AJ95" i="5"/>
  <c r="AI95" i="5"/>
  <c r="AH95" i="5"/>
  <c r="AF95" i="5"/>
  <c r="AE95" i="5"/>
  <c r="AD95" i="5"/>
  <c r="AC95" i="5"/>
  <c r="AA95" i="5"/>
  <c r="Z95" i="5"/>
  <c r="Y95" i="5"/>
  <c r="X95" i="5"/>
  <c r="V95" i="5"/>
  <c r="U95" i="5"/>
  <c r="T95" i="5"/>
  <c r="S95" i="5"/>
  <c r="Q95" i="5"/>
  <c r="P95" i="5"/>
  <c r="O95" i="5"/>
  <c r="N95" i="5"/>
  <c r="BT94" i="5"/>
  <c r="BS94" i="5"/>
  <c r="BR94" i="5"/>
  <c r="BQ94" i="5"/>
  <c r="BO94" i="5"/>
  <c r="BN94" i="5"/>
  <c r="BM94" i="5"/>
  <c r="BL94" i="5"/>
  <c r="BJ94" i="5"/>
  <c r="BI94" i="5"/>
  <c r="BH94" i="5"/>
  <c r="BG94" i="5"/>
  <c r="BE94" i="5"/>
  <c r="BD94" i="5"/>
  <c r="BC94" i="5"/>
  <c r="BB94" i="5"/>
  <c r="AZ94" i="5"/>
  <c r="AY94" i="5"/>
  <c r="AX94" i="5"/>
  <c r="AW94" i="5"/>
  <c r="AU94" i="5"/>
  <c r="AT94" i="5"/>
  <c r="AS94" i="5"/>
  <c r="AR94" i="5"/>
  <c r="AP94" i="5"/>
  <c r="AO94" i="5"/>
  <c r="AN94" i="5"/>
  <c r="AM94" i="5"/>
  <c r="AK94" i="5"/>
  <c r="AJ94" i="5"/>
  <c r="AI94" i="5"/>
  <c r="AH94" i="5"/>
  <c r="AF94" i="5"/>
  <c r="AE94" i="5"/>
  <c r="AD94" i="5"/>
  <c r="AC94" i="5"/>
  <c r="AA94" i="5"/>
  <c r="Z94" i="5"/>
  <c r="Y94" i="5"/>
  <c r="X94" i="5"/>
  <c r="V94" i="5"/>
  <c r="U94" i="5"/>
  <c r="T94" i="5"/>
  <c r="S94" i="5"/>
  <c r="Q94" i="5"/>
  <c r="P94" i="5"/>
  <c r="O94" i="5"/>
  <c r="N94" i="5"/>
  <c r="BT93" i="5"/>
  <c r="BS93" i="5"/>
  <c r="BR93" i="5"/>
  <c r="BQ93" i="5"/>
  <c r="BO93" i="5"/>
  <c r="BN93" i="5"/>
  <c r="BM93" i="5"/>
  <c r="BL93" i="5"/>
  <c r="BJ93" i="5"/>
  <c r="BI93" i="5"/>
  <c r="BH93" i="5"/>
  <c r="BG93" i="5"/>
  <c r="BE93" i="5"/>
  <c r="BD93" i="5"/>
  <c r="BC93" i="5"/>
  <c r="BB93" i="5"/>
  <c r="AZ93" i="5"/>
  <c r="AY93" i="5"/>
  <c r="AX93" i="5"/>
  <c r="AW93" i="5"/>
  <c r="AU93" i="5"/>
  <c r="AT93" i="5"/>
  <c r="AS93" i="5"/>
  <c r="AR93" i="5"/>
  <c r="AP93" i="5"/>
  <c r="AO93" i="5"/>
  <c r="AN93" i="5"/>
  <c r="AM93" i="5"/>
  <c r="AK93" i="5"/>
  <c r="AJ93" i="5"/>
  <c r="AI93" i="5"/>
  <c r="AH93" i="5"/>
  <c r="AF93" i="5"/>
  <c r="AE93" i="5"/>
  <c r="AD93" i="5"/>
  <c r="AC93" i="5"/>
  <c r="AA93" i="5"/>
  <c r="Z93" i="5"/>
  <c r="Y93" i="5"/>
  <c r="X93" i="5"/>
  <c r="V93" i="5"/>
  <c r="U93" i="5"/>
  <c r="T93" i="5"/>
  <c r="S93" i="5"/>
  <c r="Q93" i="5"/>
  <c r="P93" i="5"/>
  <c r="O93" i="5"/>
  <c r="N93" i="5"/>
  <c r="BU92" i="5"/>
  <c r="BT92" i="5"/>
  <c r="BS92" i="5"/>
  <c r="BR92" i="5"/>
  <c r="BQ92" i="5"/>
  <c r="BP92" i="5"/>
  <c r="BO92" i="5"/>
  <c r="BN92" i="5"/>
  <c r="BM92" i="5"/>
  <c r="BL92" i="5"/>
  <c r="BK92" i="5"/>
  <c r="BJ92" i="5"/>
  <c r="BI92" i="5"/>
  <c r="BH92"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BT91" i="5"/>
  <c r="BS91" i="5"/>
  <c r="BR91" i="5"/>
  <c r="BQ91" i="5"/>
  <c r="BP91" i="5"/>
  <c r="BO91" i="5"/>
  <c r="BN91" i="5"/>
  <c r="BM91" i="5"/>
  <c r="BL91" i="5"/>
  <c r="BK91" i="5"/>
  <c r="BJ91" i="5"/>
  <c r="BI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BU90" i="5"/>
  <c r="BT90" i="5"/>
  <c r="BS90" i="5"/>
  <c r="BR90" i="5"/>
  <c r="BQ90" i="5"/>
  <c r="BP90" i="5"/>
  <c r="BO90" i="5"/>
  <c r="BN90" i="5"/>
  <c r="BM90" i="5"/>
  <c r="BL90" i="5"/>
  <c r="BK90" i="5"/>
  <c r="BJ90" i="5"/>
  <c r="BI90" i="5"/>
  <c r="BH90" i="5"/>
  <c r="BG90" i="5"/>
  <c r="BF90" i="5"/>
  <c r="BE90" i="5"/>
  <c r="BD90" i="5"/>
  <c r="BC90" i="5"/>
  <c r="BB90" i="5"/>
  <c r="BA90"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BT89" i="5"/>
  <c r="BS89" i="5"/>
  <c r="BR89" i="5"/>
  <c r="BQ89" i="5"/>
  <c r="BP89" i="5"/>
  <c r="BO89" i="5"/>
  <c r="BN89" i="5"/>
  <c r="BM89" i="5"/>
  <c r="BL89" i="5"/>
  <c r="BK89" i="5"/>
  <c r="BJ89" i="5"/>
  <c r="BI89" i="5"/>
  <c r="BH89" i="5"/>
  <c r="BG89" i="5"/>
  <c r="BF89" i="5"/>
  <c r="BE89" i="5"/>
  <c r="BD89" i="5"/>
  <c r="BC89" i="5"/>
  <c r="BB89" i="5"/>
  <c r="BA89"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BT88" i="5"/>
  <c r="BS88" i="5"/>
  <c r="BR88" i="5"/>
  <c r="BQ88" i="5"/>
  <c r="BP88" i="5"/>
  <c r="BO88" i="5"/>
  <c r="BN88" i="5"/>
  <c r="BM88" i="5"/>
  <c r="BL88" i="5"/>
  <c r="BK88" i="5"/>
  <c r="BJ88" i="5"/>
  <c r="BI88" i="5"/>
  <c r="BH88"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BT87" i="5"/>
  <c r="BS87" i="5"/>
  <c r="BR87" i="5"/>
  <c r="BQ87" i="5"/>
  <c r="BP87" i="5"/>
  <c r="BO87" i="5"/>
  <c r="BN87" i="5"/>
  <c r="BM87" i="5"/>
  <c r="BL87" i="5"/>
  <c r="BK87" i="5"/>
  <c r="BJ87" i="5"/>
  <c r="BI87" i="5"/>
  <c r="BH87" i="5"/>
  <c r="BG87" i="5"/>
  <c r="BF87" i="5"/>
  <c r="BE87" i="5"/>
  <c r="BD87" i="5"/>
  <c r="BC87" i="5"/>
  <c r="BB87" i="5"/>
  <c r="BA87"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BT86" i="5"/>
  <c r="BS86" i="5"/>
  <c r="BR86" i="5"/>
  <c r="BQ86" i="5"/>
  <c r="BP86" i="5"/>
  <c r="BO86" i="5"/>
  <c r="BN86" i="5"/>
  <c r="BM86" i="5"/>
  <c r="BL86" i="5"/>
  <c r="BK86" i="5"/>
  <c r="BJ86" i="5"/>
  <c r="BI86" i="5"/>
  <c r="BH86" i="5"/>
  <c r="BG86" i="5"/>
  <c r="BF86" i="5"/>
  <c r="BE86" i="5"/>
  <c r="BD86" i="5"/>
  <c r="BC86" i="5"/>
  <c r="BB86" i="5"/>
  <c r="BA86"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BT85" i="5"/>
  <c r="BS85" i="5"/>
  <c r="BR85" i="5"/>
  <c r="BQ85" i="5"/>
  <c r="BP85" i="5"/>
  <c r="BO85" i="5"/>
  <c r="BN85" i="5"/>
  <c r="BM85" i="5"/>
  <c r="BL85" i="5"/>
  <c r="BK85" i="5"/>
  <c r="BJ85" i="5"/>
  <c r="BI85" i="5"/>
  <c r="BH85" i="5"/>
  <c r="BG85" i="5"/>
  <c r="BF85" i="5"/>
  <c r="BE85" i="5"/>
  <c r="BD85" i="5"/>
  <c r="BC85" i="5"/>
  <c r="BB85" i="5"/>
  <c r="BA85"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BT84" i="5"/>
  <c r="BS84" i="5"/>
  <c r="BR84" i="5"/>
  <c r="BQ84" i="5"/>
  <c r="BO84" i="5"/>
  <c r="BN84" i="5"/>
  <c r="BM84" i="5"/>
  <c r="BL84" i="5"/>
  <c r="BJ84" i="5"/>
  <c r="BI84" i="5"/>
  <c r="BH84" i="5"/>
  <c r="BG84" i="5"/>
  <c r="BE84" i="5"/>
  <c r="BD84" i="5"/>
  <c r="BC84" i="5"/>
  <c r="BB84" i="5"/>
  <c r="AZ84" i="5"/>
  <c r="AY84" i="5"/>
  <c r="AX84" i="5"/>
  <c r="AW84" i="5"/>
  <c r="AU84" i="5"/>
  <c r="AT84" i="5"/>
  <c r="AS84" i="5"/>
  <c r="AR84" i="5"/>
  <c r="AP84" i="5"/>
  <c r="AO84" i="5"/>
  <c r="AN84" i="5"/>
  <c r="AM84" i="5"/>
  <c r="AK84" i="5"/>
  <c r="AJ84" i="5"/>
  <c r="AI84" i="5"/>
  <c r="AH84" i="5"/>
  <c r="AF84" i="5"/>
  <c r="AE84" i="5"/>
  <c r="AD84" i="5"/>
  <c r="AC84" i="5"/>
  <c r="AA84" i="5"/>
  <c r="Z84" i="5"/>
  <c r="Y84" i="5"/>
  <c r="X84" i="5"/>
  <c r="V84" i="5"/>
  <c r="U84" i="5"/>
  <c r="T84" i="5"/>
  <c r="S84" i="5"/>
  <c r="Q84" i="5"/>
  <c r="P84" i="5"/>
  <c r="O84" i="5"/>
  <c r="N84" i="5"/>
  <c r="BT83" i="5"/>
  <c r="BS83" i="5"/>
  <c r="BR83" i="5"/>
  <c r="BQ83" i="5"/>
  <c r="BO83" i="5"/>
  <c r="BN83" i="5"/>
  <c r="BM83" i="5"/>
  <c r="BL83" i="5"/>
  <c r="BJ83" i="5"/>
  <c r="BI83" i="5"/>
  <c r="BH83" i="5"/>
  <c r="BG83" i="5"/>
  <c r="BE83" i="5"/>
  <c r="BD83" i="5"/>
  <c r="BC83" i="5"/>
  <c r="BB83" i="5"/>
  <c r="AZ83" i="5"/>
  <c r="AY83" i="5"/>
  <c r="AX83" i="5"/>
  <c r="AW83" i="5"/>
  <c r="AU83" i="5"/>
  <c r="AT83" i="5"/>
  <c r="AS83" i="5"/>
  <c r="AR83" i="5"/>
  <c r="AP83" i="5"/>
  <c r="AO83" i="5"/>
  <c r="AN83" i="5"/>
  <c r="AM83" i="5"/>
  <c r="AK83" i="5"/>
  <c r="AJ83" i="5"/>
  <c r="AI83" i="5"/>
  <c r="AH83" i="5"/>
  <c r="AF83" i="5"/>
  <c r="AE83" i="5"/>
  <c r="AD83" i="5"/>
  <c r="AC83" i="5"/>
  <c r="AA83" i="5"/>
  <c r="Z83" i="5"/>
  <c r="Y83" i="5"/>
  <c r="X83" i="5"/>
  <c r="V83" i="5"/>
  <c r="U83" i="5"/>
  <c r="T83" i="5"/>
  <c r="S83" i="5"/>
  <c r="Q83" i="5"/>
  <c r="P83" i="5"/>
  <c r="O83" i="5"/>
  <c r="N83" i="5"/>
  <c r="DK78" i="5"/>
  <c r="DK76" i="5"/>
  <c r="DD75" i="5"/>
  <c r="CY75" i="5"/>
  <c r="CT75" i="5"/>
  <c r="CO75" i="5"/>
  <c r="CJ75" i="5"/>
  <c r="CE75" i="5"/>
  <c r="BZ75" i="5"/>
  <c r="DK75" i="5"/>
  <c r="BU75" i="5"/>
  <c r="BP75" i="5"/>
  <c r="BK75" i="5"/>
  <c r="BF75" i="5"/>
  <c r="BA75" i="5"/>
  <c r="AV75" i="5"/>
  <c r="AQ75" i="5"/>
  <c r="AL75" i="5"/>
  <c r="AG75" i="5"/>
  <c r="AB75" i="5"/>
  <c r="W75" i="5"/>
  <c r="R75" i="5"/>
  <c r="M75" i="5"/>
  <c r="H75" i="5"/>
  <c r="DK74" i="5"/>
  <c r="DD73" i="5"/>
  <c r="CY73" i="5"/>
  <c r="CT73" i="5"/>
  <c r="CO73" i="5"/>
  <c r="CJ73" i="5"/>
  <c r="CE73" i="5"/>
  <c r="BZ73" i="5"/>
  <c r="DK73" i="5"/>
  <c r="BU73" i="5"/>
  <c r="BP73" i="5"/>
  <c r="BK73" i="5"/>
  <c r="BF73" i="5"/>
  <c r="BA73" i="5"/>
  <c r="AV73" i="5"/>
  <c r="AQ73" i="5"/>
  <c r="AL73" i="5"/>
  <c r="AG73" i="5"/>
  <c r="AB73" i="5"/>
  <c r="W73" i="5"/>
  <c r="R73" i="5"/>
  <c r="M73" i="5"/>
  <c r="H73" i="5"/>
  <c r="DD72" i="5"/>
  <c r="CY72" i="5"/>
  <c r="CT72" i="5"/>
  <c r="CO72" i="5"/>
  <c r="CJ72" i="5"/>
  <c r="CE72" i="5"/>
  <c r="BZ72" i="5"/>
  <c r="DK72" i="5"/>
  <c r="BU72" i="5"/>
  <c r="BP72" i="5"/>
  <c r="BK72" i="5"/>
  <c r="BF72" i="5"/>
  <c r="BA72" i="5"/>
  <c r="AV72" i="5"/>
  <c r="AQ72" i="5"/>
  <c r="AL72" i="5"/>
  <c r="AG72" i="5"/>
  <c r="AB72" i="5"/>
  <c r="W72" i="5"/>
  <c r="R72" i="5"/>
  <c r="M72" i="5"/>
  <c r="H72" i="5"/>
  <c r="DD71" i="5"/>
  <c r="CY71" i="5"/>
  <c r="CT71" i="5"/>
  <c r="CO71" i="5"/>
  <c r="CJ71" i="5"/>
  <c r="CE71" i="5"/>
  <c r="BZ71" i="5"/>
  <c r="DK71" i="5"/>
  <c r="BU71" i="5"/>
  <c r="BP71" i="5"/>
  <c r="BK71" i="5"/>
  <c r="BF71" i="5"/>
  <c r="BA71" i="5"/>
  <c r="AV71" i="5"/>
  <c r="AQ71" i="5"/>
  <c r="AL71" i="5"/>
  <c r="AG71" i="5"/>
  <c r="AB71" i="5"/>
  <c r="W71" i="5"/>
  <c r="R71" i="5"/>
  <c r="M71" i="5"/>
  <c r="H71" i="5"/>
  <c r="DD70" i="5"/>
  <c r="CY70" i="5"/>
  <c r="CT70" i="5"/>
  <c r="CO70" i="5"/>
  <c r="CJ70" i="5"/>
  <c r="CE70" i="5"/>
  <c r="BZ70" i="5"/>
  <c r="DK70" i="5"/>
  <c r="BU70" i="5"/>
  <c r="BP70" i="5"/>
  <c r="BK70" i="5"/>
  <c r="BF70" i="5"/>
  <c r="BA70" i="5"/>
  <c r="AV70" i="5"/>
  <c r="AQ70" i="5"/>
  <c r="AQ67" i="5" s="1"/>
  <c r="AL70" i="5"/>
  <c r="AG70" i="5"/>
  <c r="AB70" i="5"/>
  <c r="W70" i="5"/>
  <c r="R70" i="5"/>
  <c r="M70" i="5"/>
  <c r="H70" i="5"/>
  <c r="DK69" i="5"/>
  <c r="DD68" i="5"/>
  <c r="CY68" i="5"/>
  <c r="CT68" i="5"/>
  <c r="CO68" i="5"/>
  <c r="CJ68" i="5"/>
  <c r="CE68" i="5"/>
  <c r="BZ68" i="5"/>
  <c r="BU68" i="5"/>
  <c r="BU67" i="5" s="1"/>
  <c r="BP68" i="5"/>
  <c r="BK68" i="5"/>
  <c r="BF68" i="5"/>
  <c r="BA68" i="5"/>
  <c r="AV68" i="5"/>
  <c r="AQ68" i="5"/>
  <c r="AL68" i="5"/>
  <c r="AG68" i="5"/>
  <c r="AB68" i="5"/>
  <c r="W68" i="5"/>
  <c r="R68" i="5"/>
  <c r="M68" i="5"/>
  <c r="M67" i="5" s="1"/>
  <c r="H68" i="5"/>
  <c r="DK66" i="5"/>
  <c r="DK65" i="5"/>
  <c r="DK64" i="5"/>
  <c r="DD64" i="5"/>
  <c r="CY64" i="5"/>
  <c r="CT64" i="5"/>
  <c r="CO64" i="5"/>
  <c r="CJ64" i="5"/>
  <c r="CE64" i="5"/>
  <c r="BZ64" i="5"/>
  <c r="BU64" i="5"/>
  <c r="BP64" i="5"/>
  <c r="BK64" i="5"/>
  <c r="BF64" i="5"/>
  <c r="BA64" i="5"/>
  <c r="AV64" i="5"/>
  <c r="AQ64" i="5"/>
  <c r="AL64" i="5"/>
  <c r="AG64" i="5"/>
  <c r="AB64" i="5"/>
  <c r="W64" i="5"/>
  <c r="R64" i="5"/>
  <c r="M64" i="5"/>
  <c r="DK63" i="5"/>
  <c r="DD63" i="5"/>
  <c r="CY63" i="5"/>
  <c r="CT63" i="5"/>
  <c r="CO63" i="5"/>
  <c r="CJ63" i="5"/>
  <c r="CE63" i="5"/>
  <c r="BZ63" i="5"/>
  <c r="BU63" i="5"/>
  <c r="BP63" i="5"/>
  <c r="BK63" i="5"/>
  <c r="BF63" i="5"/>
  <c r="BA63" i="5"/>
  <c r="AV63" i="5"/>
  <c r="AQ63" i="5"/>
  <c r="AL63" i="5"/>
  <c r="AG63" i="5"/>
  <c r="AB63" i="5"/>
  <c r="W63" i="5"/>
  <c r="R63" i="5"/>
  <c r="M63" i="5"/>
  <c r="DK62" i="5"/>
  <c r="DK61" i="5"/>
  <c r="DD61" i="5"/>
  <c r="CY61" i="5"/>
  <c r="CT61" i="5"/>
  <c r="CO61" i="5"/>
  <c r="CJ61" i="5"/>
  <c r="CE61" i="5"/>
  <c r="BZ61" i="5"/>
  <c r="BU61" i="5"/>
  <c r="BP61" i="5"/>
  <c r="BK61" i="5"/>
  <c r="BF61" i="5"/>
  <c r="BA61" i="5"/>
  <c r="AV61" i="5"/>
  <c r="AQ61" i="5"/>
  <c r="AL61" i="5"/>
  <c r="AG61" i="5"/>
  <c r="AB61" i="5"/>
  <c r="W61" i="5"/>
  <c r="R61" i="5"/>
  <c r="M61" i="5"/>
  <c r="DK60" i="5"/>
  <c r="DD60" i="5"/>
  <c r="CY60" i="5"/>
  <c r="CT60" i="5"/>
  <c r="CO60" i="5"/>
  <c r="CJ60" i="5"/>
  <c r="CE60" i="5"/>
  <c r="BZ60" i="5"/>
  <c r="BU60" i="5"/>
  <c r="BP60" i="5"/>
  <c r="BK60" i="5"/>
  <c r="BF60" i="5"/>
  <c r="BA60" i="5"/>
  <c r="AV60" i="5"/>
  <c r="AQ60" i="5"/>
  <c r="AL60" i="5"/>
  <c r="AG60" i="5"/>
  <c r="AB60" i="5"/>
  <c r="W60" i="5"/>
  <c r="R60" i="5"/>
  <c r="M60" i="5"/>
  <c r="DK59" i="5"/>
  <c r="CJ59" i="5"/>
  <c r="R59" i="5"/>
  <c r="DK58" i="5"/>
  <c r="DD57" i="5"/>
  <c r="CY57" i="5"/>
  <c r="CT57" i="5"/>
  <c r="CO57" i="5"/>
  <c r="CJ57" i="5"/>
  <c r="CE57" i="5"/>
  <c r="BZ57" i="5"/>
  <c r="DK57" i="5"/>
  <c r="BU57" i="5"/>
  <c r="BP57" i="5"/>
  <c r="BK57" i="5"/>
  <c r="BF57" i="5"/>
  <c r="BA57" i="5"/>
  <c r="AV57" i="5"/>
  <c r="AQ57" i="5"/>
  <c r="AL57" i="5"/>
  <c r="AG57" i="5"/>
  <c r="AB57" i="5"/>
  <c r="W57" i="5"/>
  <c r="R57" i="5"/>
  <c r="M57" i="5"/>
  <c r="H57" i="5"/>
  <c r="DD56" i="5"/>
  <c r="CY56" i="5"/>
  <c r="CT56" i="5"/>
  <c r="CO56" i="5"/>
  <c r="CJ56" i="5"/>
  <c r="CE56" i="5"/>
  <c r="BZ56" i="5"/>
  <c r="DK56" i="5"/>
  <c r="BU56" i="5"/>
  <c r="BP56" i="5"/>
  <c r="BK56" i="5"/>
  <c r="BF56" i="5"/>
  <c r="BA56" i="5"/>
  <c r="AV56" i="5"/>
  <c r="AQ56" i="5"/>
  <c r="AL56" i="5"/>
  <c r="AG56" i="5"/>
  <c r="AB56" i="5"/>
  <c r="W56" i="5"/>
  <c r="R56" i="5"/>
  <c r="M56" i="5"/>
  <c r="H56" i="5"/>
  <c r="DK55" i="5"/>
  <c r="DK54" i="5"/>
  <c r="DD54" i="5"/>
  <c r="CY54" i="5"/>
  <c r="CT54" i="5"/>
  <c r="CO54" i="5"/>
  <c r="CJ54" i="5"/>
  <c r="CJ52" i="5" s="1"/>
  <c r="CE54" i="5"/>
  <c r="BZ54" i="5"/>
  <c r="BU54" i="5"/>
  <c r="BP54" i="5"/>
  <c r="BK54" i="5"/>
  <c r="BF54" i="5"/>
  <c r="BA54" i="5"/>
  <c r="AV54" i="5"/>
  <c r="AV52" i="5" s="1"/>
  <c r="AQ54" i="5"/>
  <c r="AL54" i="5"/>
  <c r="AG54" i="5"/>
  <c r="AB54" i="5"/>
  <c r="W54" i="5"/>
  <c r="R54" i="5"/>
  <c r="M54" i="5"/>
  <c r="H54" i="5"/>
  <c r="DD53" i="5"/>
  <c r="CY53" i="5"/>
  <c r="CT53" i="5"/>
  <c r="CO53" i="5"/>
  <c r="CO52" i="5" s="1"/>
  <c r="CJ53" i="5"/>
  <c r="CE53" i="5"/>
  <c r="BZ53" i="5"/>
  <c r="BU53" i="5"/>
  <c r="BP53" i="5"/>
  <c r="BK53" i="5"/>
  <c r="BF53" i="5"/>
  <c r="BA53" i="5"/>
  <c r="AV53" i="5"/>
  <c r="AQ53" i="5"/>
  <c r="AL53" i="5"/>
  <c r="AG53" i="5"/>
  <c r="AB53" i="5"/>
  <c r="W53" i="5"/>
  <c r="R53" i="5"/>
  <c r="R52" i="5" s="1"/>
  <c r="M53" i="5"/>
  <c r="H53" i="5"/>
  <c r="CE52" i="5"/>
  <c r="DK51" i="5"/>
  <c r="DD50" i="5"/>
  <c r="CY50" i="5"/>
  <c r="CT50" i="5"/>
  <c r="CO50" i="5"/>
  <c r="CJ50" i="5"/>
  <c r="CE50" i="5"/>
  <c r="BZ50" i="5"/>
  <c r="BU50" i="5"/>
  <c r="BP50" i="5"/>
  <c r="BP45" i="5" s="1"/>
  <c r="BK50" i="5"/>
  <c r="BF50" i="5"/>
  <c r="BA50" i="5"/>
  <c r="AV50" i="5"/>
  <c r="AQ50" i="5"/>
  <c r="AL50" i="5"/>
  <c r="AG50" i="5"/>
  <c r="AB50" i="5"/>
  <c r="W50" i="5"/>
  <c r="R50" i="5"/>
  <c r="M50" i="5"/>
  <c r="H50" i="5"/>
  <c r="DD49" i="5"/>
  <c r="CY49" i="5"/>
  <c r="CT49" i="5"/>
  <c r="CO49" i="5"/>
  <c r="CJ49" i="5"/>
  <c r="CE49" i="5"/>
  <c r="BZ49" i="5"/>
  <c r="BU49" i="5"/>
  <c r="BP49" i="5"/>
  <c r="BK49" i="5"/>
  <c r="BF49" i="5"/>
  <c r="BA49" i="5"/>
  <c r="AV49" i="5"/>
  <c r="AQ49" i="5"/>
  <c r="AL49" i="5"/>
  <c r="AG49" i="5"/>
  <c r="AB49" i="5"/>
  <c r="W49" i="5"/>
  <c r="R49" i="5"/>
  <c r="M49" i="5"/>
  <c r="H49" i="5"/>
  <c r="DK48" i="5"/>
  <c r="DD47" i="5"/>
  <c r="CY47" i="5"/>
  <c r="CY45" i="5" s="1"/>
  <c r="CT47" i="5"/>
  <c r="CO47" i="5"/>
  <c r="CJ47" i="5"/>
  <c r="CE47" i="5"/>
  <c r="CE45" i="5" s="1"/>
  <c r="BZ47" i="5"/>
  <c r="BU47" i="5"/>
  <c r="BP47" i="5"/>
  <c r="BK47" i="5"/>
  <c r="BF47" i="5"/>
  <c r="BA47" i="5"/>
  <c r="AV47" i="5"/>
  <c r="AQ47" i="5"/>
  <c r="AL47" i="5"/>
  <c r="AG47" i="5"/>
  <c r="AB47" i="5"/>
  <c r="W47" i="5"/>
  <c r="R47" i="5"/>
  <c r="M47" i="5"/>
  <c r="H47" i="5"/>
  <c r="DD46" i="5"/>
  <c r="CY46" i="5"/>
  <c r="CT46" i="5"/>
  <c r="CO46" i="5"/>
  <c r="CJ46" i="5"/>
  <c r="CE46" i="5"/>
  <c r="BZ46" i="5"/>
  <c r="DK46" i="5"/>
  <c r="BU46" i="5"/>
  <c r="BP46" i="5"/>
  <c r="BK46" i="5"/>
  <c r="BF46" i="5"/>
  <c r="BA46" i="5"/>
  <c r="AV46" i="5"/>
  <c r="AQ46" i="5"/>
  <c r="AL46" i="5"/>
  <c r="AL45" i="5" s="1"/>
  <c r="AG46" i="5"/>
  <c r="AB46" i="5"/>
  <c r="W46" i="5"/>
  <c r="R46" i="5"/>
  <c r="M46" i="5"/>
  <c r="H46" i="5"/>
  <c r="DK43" i="5"/>
  <c r="DK42" i="5"/>
  <c r="DK41" i="5"/>
  <c r="DK40" i="5"/>
  <c r="DD40" i="5"/>
  <c r="DD39" i="5" s="1"/>
  <c r="CY40" i="5"/>
  <c r="CT40" i="5"/>
  <c r="CO40" i="5"/>
  <c r="CJ40" i="5"/>
  <c r="CE40" i="5"/>
  <c r="BZ40" i="5"/>
  <c r="BZ39" i="5" s="1"/>
  <c r="BU40" i="5"/>
  <c r="BU111" i="5" s="1"/>
  <c r="BP40" i="5"/>
  <c r="BK40" i="5"/>
  <c r="BK39" i="5" s="1"/>
  <c r="BF40" i="5"/>
  <c r="BA40" i="5"/>
  <c r="BA111" i="5" s="1"/>
  <c r="AV40" i="5"/>
  <c r="AV111" i="5" s="1"/>
  <c r="AQ40" i="5"/>
  <c r="AQ39" i="5" s="1"/>
  <c r="AL40" i="5"/>
  <c r="AG40" i="5"/>
  <c r="AG39" i="5" s="1"/>
  <c r="AB40" i="5"/>
  <c r="W40" i="5"/>
  <c r="W111" i="5" s="1"/>
  <c r="R40" i="5"/>
  <c r="M40" i="5"/>
  <c r="DK39" i="5"/>
  <c r="CY39" i="5"/>
  <c r="CT39" i="5"/>
  <c r="CO39" i="5"/>
  <c r="CJ39" i="5"/>
  <c r="CE39" i="5"/>
  <c r="BF39" i="5"/>
  <c r="BA39" i="5"/>
  <c r="BA110" i="5" s="1"/>
  <c r="M39" i="5"/>
  <c r="DK38" i="5"/>
  <c r="DD37" i="5"/>
  <c r="CY37" i="5"/>
  <c r="CT37" i="5"/>
  <c r="CT35" i="5" s="1"/>
  <c r="CO37" i="5"/>
  <c r="CJ37" i="5"/>
  <c r="CE37" i="5"/>
  <c r="BZ37" i="5"/>
  <c r="BU37" i="5"/>
  <c r="BU108" i="5" s="1"/>
  <c r="BP37" i="5"/>
  <c r="BP108" i="5" s="1"/>
  <c r="BK37" i="5"/>
  <c r="BK108" i="5" s="1"/>
  <c r="BF37" i="5"/>
  <c r="BA37" i="5"/>
  <c r="AV37" i="5"/>
  <c r="AQ37" i="5"/>
  <c r="AQ108" i="5" s="1"/>
  <c r="AL37" i="5"/>
  <c r="AG37" i="5"/>
  <c r="AB37" i="5"/>
  <c r="W37" i="5"/>
  <c r="W108" i="5" s="1"/>
  <c r="R37" i="5"/>
  <c r="M37" i="5"/>
  <c r="H37" i="5"/>
  <c r="DD36" i="5"/>
  <c r="DD35" i="5" s="1"/>
  <c r="CY36" i="5"/>
  <c r="CT36" i="5"/>
  <c r="CO36" i="5"/>
  <c r="CJ36" i="5"/>
  <c r="CJ35" i="5" s="1"/>
  <c r="CE36" i="5"/>
  <c r="BZ36" i="5"/>
  <c r="DK36" i="5"/>
  <c r="BU36" i="5"/>
  <c r="BP36" i="5"/>
  <c r="BP107" i="5" s="1"/>
  <c r="BK36" i="5"/>
  <c r="BF36" i="5"/>
  <c r="BA36" i="5"/>
  <c r="AV36" i="5"/>
  <c r="AQ36" i="5"/>
  <c r="AL36" i="5"/>
  <c r="AG36" i="5"/>
  <c r="AG35" i="5" s="1"/>
  <c r="AB36" i="5"/>
  <c r="W36" i="5"/>
  <c r="W107" i="5" s="1"/>
  <c r="R36" i="5"/>
  <c r="R107" i="5" s="1"/>
  <c r="M36" i="5"/>
  <c r="H36" i="5"/>
  <c r="CO35" i="5"/>
  <c r="BK35" i="5"/>
  <c r="BK106" i="5" s="1"/>
  <c r="DK34" i="5"/>
  <c r="DD33" i="5"/>
  <c r="CY33" i="5"/>
  <c r="CT33" i="5"/>
  <c r="CO33" i="5"/>
  <c r="CJ33" i="5"/>
  <c r="CE33" i="5"/>
  <c r="BZ33" i="5"/>
  <c r="DK33" i="5"/>
  <c r="BU33" i="5"/>
  <c r="BU104" i="5" s="1"/>
  <c r="BP33" i="5"/>
  <c r="BK33" i="5"/>
  <c r="BF33" i="5"/>
  <c r="BA33" i="5"/>
  <c r="BA104" i="5" s="1"/>
  <c r="AV33" i="5"/>
  <c r="AQ33" i="5"/>
  <c r="AL33" i="5"/>
  <c r="AG33" i="5"/>
  <c r="AG104" i="5" s="1"/>
  <c r="AB33" i="5"/>
  <c r="W33" i="5"/>
  <c r="R33" i="5"/>
  <c r="R104" i="5" s="1"/>
  <c r="M33" i="5"/>
  <c r="M104" i="5" s="1"/>
  <c r="H33" i="5"/>
  <c r="DD32" i="5"/>
  <c r="CY32" i="5"/>
  <c r="CT32" i="5"/>
  <c r="CO32" i="5"/>
  <c r="CJ32" i="5"/>
  <c r="CE32" i="5"/>
  <c r="BZ32" i="5"/>
  <c r="BZ30" i="5" s="1"/>
  <c r="DK32" i="5"/>
  <c r="BU32" i="5"/>
  <c r="BU103" i="5" s="1"/>
  <c r="BP32" i="5"/>
  <c r="BP103" i="5" s="1"/>
  <c r="BK32" i="5"/>
  <c r="BF32" i="5"/>
  <c r="BA32" i="5"/>
  <c r="AV32" i="5"/>
  <c r="AQ32" i="5"/>
  <c r="AL32" i="5"/>
  <c r="AG32" i="5"/>
  <c r="AB32" i="5"/>
  <c r="AB103" i="5" s="1"/>
  <c r="W32" i="5"/>
  <c r="R32" i="5"/>
  <c r="M32" i="5"/>
  <c r="H32" i="5"/>
  <c r="DD31" i="5"/>
  <c r="DD30" i="5" s="1"/>
  <c r="CY31" i="5"/>
  <c r="CT31" i="5"/>
  <c r="CO31" i="5"/>
  <c r="CJ31" i="5"/>
  <c r="CE31" i="5"/>
  <c r="BZ31" i="5"/>
  <c r="BU31" i="5"/>
  <c r="BU102" i="5" s="1"/>
  <c r="BP31" i="5"/>
  <c r="BP102" i="5" s="1"/>
  <c r="BK31" i="5"/>
  <c r="BF31" i="5"/>
  <c r="BA31" i="5"/>
  <c r="BA102" i="5" s="1"/>
  <c r="AV31" i="5"/>
  <c r="AQ31" i="5"/>
  <c r="AQ30" i="5" s="1"/>
  <c r="AL31" i="5"/>
  <c r="AG31" i="5"/>
  <c r="AG102" i="5" s="1"/>
  <c r="AB31" i="5"/>
  <c r="W31" i="5"/>
  <c r="R31" i="5"/>
  <c r="M31" i="5"/>
  <c r="M102" i="5" s="1"/>
  <c r="H31" i="5"/>
  <c r="CE30" i="5"/>
  <c r="DK29" i="5"/>
  <c r="DD28" i="5"/>
  <c r="CY28" i="5"/>
  <c r="CT28" i="5"/>
  <c r="CO28" i="5"/>
  <c r="CJ28" i="5"/>
  <c r="CE28" i="5"/>
  <c r="BZ28" i="5"/>
  <c r="BU28" i="5"/>
  <c r="BU99" i="5" s="1"/>
  <c r="BP28" i="5"/>
  <c r="BP99" i="5" s="1"/>
  <c r="BK28" i="5"/>
  <c r="BF28" i="5"/>
  <c r="BA28" i="5"/>
  <c r="AV28" i="5"/>
  <c r="AQ28" i="5"/>
  <c r="AL28" i="5"/>
  <c r="AG28" i="5"/>
  <c r="AB28" i="5"/>
  <c r="W28" i="5"/>
  <c r="R28" i="5"/>
  <c r="R99" i="5" s="1"/>
  <c r="M28" i="5"/>
  <c r="H28" i="5"/>
  <c r="DD27" i="5"/>
  <c r="CY27" i="5"/>
  <c r="CT27" i="5"/>
  <c r="CO27" i="5"/>
  <c r="CJ27" i="5"/>
  <c r="CE27" i="5"/>
  <c r="BZ27" i="5"/>
  <c r="DK27" i="5"/>
  <c r="BU27" i="5"/>
  <c r="BP27" i="5"/>
  <c r="BP98" i="5" s="1"/>
  <c r="BK27" i="5"/>
  <c r="BK98" i="5" s="1"/>
  <c r="BF27" i="5"/>
  <c r="BA27" i="5"/>
  <c r="AV27" i="5"/>
  <c r="AV98" i="5" s="1"/>
  <c r="AQ27" i="5"/>
  <c r="AQ98" i="5" s="1"/>
  <c r="AL27" i="5"/>
  <c r="AG27" i="5"/>
  <c r="AB27" i="5"/>
  <c r="W27" i="5"/>
  <c r="W98" i="5" s="1"/>
  <c r="R27" i="5"/>
  <c r="M27" i="5"/>
  <c r="H27" i="5"/>
  <c r="DD26" i="5"/>
  <c r="CY26" i="5"/>
  <c r="CT26" i="5"/>
  <c r="CO26" i="5"/>
  <c r="CJ26" i="5"/>
  <c r="CE26" i="5"/>
  <c r="BZ26" i="5"/>
  <c r="DK26" i="5"/>
  <c r="BU26" i="5"/>
  <c r="BU96" i="5" s="1"/>
  <c r="BP26" i="5"/>
  <c r="BK26" i="5"/>
  <c r="BF26" i="5"/>
  <c r="BA26" i="5"/>
  <c r="BA96" i="5" s="1"/>
  <c r="AV26" i="5"/>
  <c r="AQ26" i="5"/>
  <c r="AL26" i="5"/>
  <c r="AL96" i="5" s="1"/>
  <c r="AG26" i="5"/>
  <c r="AG96" i="5" s="1"/>
  <c r="AB26" i="5"/>
  <c r="W26" i="5"/>
  <c r="R26" i="5"/>
  <c r="R96" i="5" s="1"/>
  <c r="M26" i="5"/>
  <c r="H26" i="5"/>
  <c r="DD25" i="5"/>
  <c r="CY25" i="5"/>
  <c r="CT25" i="5"/>
  <c r="CO25" i="5"/>
  <c r="CJ25" i="5"/>
  <c r="CE25" i="5"/>
  <c r="BZ25" i="5"/>
  <c r="DK25" i="5"/>
  <c r="BU25" i="5"/>
  <c r="BU95" i="5" s="1"/>
  <c r="BP25" i="5"/>
  <c r="BP95" i="5" s="1"/>
  <c r="BK25" i="5"/>
  <c r="BF25" i="5"/>
  <c r="BA25" i="5"/>
  <c r="AV25" i="5"/>
  <c r="AV95" i="5" s="1"/>
  <c r="AQ25" i="5"/>
  <c r="AQ95" i="5" s="1"/>
  <c r="AL25" i="5"/>
  <c r="AG25" i="5"/>
  <c r="AB25" i="5"/>
  <c r="AB24" i="5" s="1"/>
  <c r="W25" i="5"/>
  <c r="R25" i="5"/>
  <c r="M25" i="5"/>
  <c r="M24" i="5" s="1"/>
  <c r="H25" i="5"/>
  <c r="BA24" i="5"/>
  <c r="DK22" i="5"/>
  <c r="DK21" i="5"/>
  <c r="BU21" i="5"/>
  <c r="DK20" i="5"/>
  <c r="DK19" i="5"/>
  <c r="BU19" i="5"/>
  <c r="BU89" i="5" s="1"/>
  <c r="DK18" i="5"/>
  <c r="BU18" i="5"/>
  <c r="DK17" i="5"/>
  <c r="BU17" i="5"/>
  <c r="DK16" i="5"/>
  <c r="BU16" i="5"/>
  <c r="BU86" i="5" s="1"/>
  <c r="DK15" i="5"/>
  <c r="BU15" i="5"/>
  <c r="DD14" i="5"/>
  <c r="DD13" i="5" s="1"/>
  <c r="CY14" i="5"/>
  <c r="CT14" i="5"/>
  <c r="CT13" i="5" s="1"/>
  <c r="CO14" i="5"/>
  <c r="CJ14" i="5"/>
  <c r="CJ13" i="5" s="1"/>
  <c r="CE14" i="5"/>
  <c r="CE13" i="5" s="1"/>
  <c r="BZ14" i="5"/>
  <c r="BZ13" i="5" s="1"/>
  <c r="BP14" i="5"/>
  <c r="BP13" i="5" s="1"/>
  <c r="BK14" i="5"/>
  <c r="BF14" i="5"/>
  <c r="BA14" i="5"/>
  <c r="AV14" i="5"/>
  <c r="AV84" i="5" s="1"/>
  <c r="AQ14" i="5"/>
  <c r="AQ13" i="5" s="1"/>
  <c r="AL14" i="5"/>
  <c r="AL13" i="5" s="1"/>
  <c r="AG14" i="5"/>
  <c r="AB14" i="5"/>
  <c r="W14" i="5"/>
  <c r="R14" i="5"/>
  <c r="R84" i="5" s="1"/>
  <c r="M14" i="5"/>
  <c r="M84" i="5" s="1"/>
  <c r="H14" i="5"/>
  <c r="H13" i="5" s="1"/>
  <c r="CY13" i="5"/>
  <c r="CO13" i="5"/>
  <c r="BF13" i="5"/>
  <c r="AB13" i="5"/>
  <c r="AB83" i="5" s="1"/>
  <c r="BU63" i="4"/>
  <c r="T140" i="2"/>
  <c r="O140" i="2"/>
  <c r="N140" i="2"/>
  <c r="K140" i="2"/>
  <c r="I140" i="2"/>
  <c r="U140" i="2" s="1"/>
  <c r="U139" i="2"/>
  <c r="Q139" i="2"/>
  <c r="U138" i="2"/>
  <c r="U137" i="2"/>
  <c r="U136" i="2"/>
  <c r="U134" i="2"/>
  <c r="U133" i="2"/>
  <c r="U132" i="2"/>
  <c r="AB131" i="2"/>
  <c r="U131" i="2"/>
  <c r="AB130" i="2"/>
  <c r="U130" i="2"/>
  <c r="U129" i="2"/>
  <c r="U128" i="2"/>
  <c r="AB127" i="2"/>
  <c r="AB128" i="2" s="1"/>
  <c r="AB129" i="2" s="1"/>
  <c r="U127" i="2"/>
  <c r="AB126" i="2"/>
  <c r="U126" i="2"/>
  <c r="U125" i="2"/>
  <c r="U124" i="2"/>
  <c r="U123" i="2"/>
  <c r="AC122" i="2"/>
  <c r="AB122" i="2"/>
  <c r="U122" i="2"/>
  <c r="U121" i="2"/>
  <c r="T120" i="2"/>
  <c r="S120" i="2"/>
  <c r="R120" i="2"/>
  <c r="Q120" i="2"/>
  <c r="P120" i="2"/>
  <c r="O120" i="2"/>
  <c r="N120" i="2"/>
  <c r="M120" i="2"/>
  <c r="L120" i="2"/>
  <c r="K120" i="2"/>
  <c r="J120" i="2"/>
  <c r="I120" i="2"/>
  <c r="T119" i="2"/>
  <c r="S119" i="2"/>
  <c r="R119" i="2"/>
  <c r="Q119" i="2"/>
  <c r="P119" i="2"/>
  <c r="O119" i="2"/>
  <c r="N119" i="2"/>
  <c r="M119" i="2"/>
  <c r="L119" i="2"/>
  <c r="K119" i="2"/>
  <c r="J119" i="2"/>
  <c r="AC114" i="2"/>
  <c r="AB114" i="2"/>
  <c r="AA114" i="2"/>
  <c r="AC113" i="2"/>
  <c r="AB113" i="2"/>
  <c r="AA113" i="2"/>
  <c r="T113" i="2"/>
  <c r="S113" i="2"/>
  <c r="R113" i="2"/>
  <c r="Q113" i="2"/>
  <c r="P113" i="2"/>
  <c r="P96" i="2" s="1"/>
  <c r="P80" i="2" s="1"/>
  <c r="O113" i="2"/>
  <c r="O96" i="2" s="1"/>
  <c r="O80" i="2" s="1"/>
  <c r="N113" i="2"/>
  <c r="N96" i="2" s="1"/>
  <c r="N80" i="2" s="1"/>
  <c r="M113" i="2"/>
  <c r="M96" i="2" s="1"/>
  <c r="M80" i="2" s="1"/>
  <c r="L113" i="2"/>
  <c r="K113" i="2"/>
  <c r="J113" i="2"/>
  <c r="I113" i="2"/>
  <c r="H113" i="2"/>
  <c r="U111" i="2"/>
  <c r="S110" i="2"/>
  <c r="R110" i="2"/>
  <c r="J110" i="2"/>
  <c r="S109" i="2"/>
  <c r="R109" i="2"/>
  <c r="R100" i="2" s="1"/>
  <c r="J108" i="2"/>
  <c r="U108" i="2" s="1"/>
  <c r="U107" i="2"/>
  <c r="U106" i="2"/>
  <c r="U105" i="2"/>
  <c r="U104" i="2"/>
  <c r="S103" i="2"/>
  <c r="U103" i="2" s="1"/>
  <c r="R103" i="2"/>
  <c r="U102" i="2"/>
  <c r="U101" i="2"/>
  <c r="T100" i="2"/>
  <c r="T96" i="2" s="1"/>
  <c r="T80" i="2" s="1"/>
  <c r="N100" i="2"/>
  <c r="L100" i="2"/>
  <c r="L96" i="2" s="1"/>
  <c r="L80" i="2" s="1"/>
  <c r="K100" i="2"/>
  <c r="J100" i="2"/>
  <c r="I100" i="2"/>
  <c r="S99" i="2"/>
  <c r="R99" i="2"/>
  <c r="J99" i="2"/>
  <c r="U99" i="2" s="1"/>
  <c r="U98" i="2"/>
  <c r="U97" i="2"/>
  <c r="AC96" i="2"/>
  <c r="AB96" i="2"/>
  <c r="AA96" i="2"/>
  <c r="Q96" i="2"/>
  <c r="Q80" i="2" s="1"/>
  <c r="AC95" i="2"/>
  <c r="AB95" i="2"/>
  <c r="AA95" i="2"/>
  <c r="S95" i="2"/>
  <c r="U95" i="2" s="1"/>
  <c r="R95" i="2"/>
  <c r="AC94" i="2"/>
  <c r="AB94" i="2"/>
  <c r="AB115" i="2" s="1"/>
  <c r="AB117" i="2" s="1"/>
  <c r="AB119" i="2" s="1"/>
  <c r="AA94" i="2"/>
  <c r="AA115" i="2" s="1"/>
  <c r="U94" i="2"/>
  <c r="U92" i="2"/>
  <c r="U91" i="2"/>
  <c r="S90" i="2"/>
  <c r="R90" i="2"/>
  <c r="J90" i="2"/>
  <c r="U90" i="2" s="1"/>
  <c r="S88" i="2"/>
  <c r="R88" i="2"/>
  <c r="U88" i="2" s="1"/>
  <c r="U87" i="2"/>
  <c r="S86" i="2"/>
  <c r="R86" i="2"/>
  <c r="U86" i="2" s="1"/>
  <c r="S85" i="2"/>
  <c r="R85" i="2"/>
  <c r="J85" i="2"/>
  <c r="S84" i="2"/>
  <c r="U84" i="2" s="1"/>
  <c r="R84" i="2"/>
  <c r="U83" i="2"/>
  <c r="U82" i="2"/>
  <c r="J82" i="2"/>
  <c r="H80" i="2"/>
  <c r="U76" i="2"/>
  <c r="N74" i="2"/>
  <c r="L74" i="2"/>
  <c r="U74" i="2" s="1"/>
  <c r="U73" i="2"/>
  <c r="U72" i="2" s="1"/>
  <c r="T72" i="2"/>
  <c r="S72" i="2"/>
  <c r="R72" i="2"/>
  <c r="Q72" i="2"/>
  <c r="P72" i="2"/>
  <c r="O72" i="2"/>
  <c r="N72" i="2"/>
  <c r="M72" i="2"/>
  <c r="L72" i="2"/>
  <c r="K72" i="2"/>
  <c r="J72" i="2"/>
  <c r="I72" i="2"/>
  <c r="H72" i="2"/>
  <c r="U71" i="2"/>
  <c r="U70" i="2"/>
  <c r="U68" i="2"/>
  <c r="U67" i="2"/>
  <c r="U66" i="2"/>
  <c r="T64" i="2"/>
  <c r="S64" i="2"/>
  <c r="R64" i="2"/>
  <c r="Q64" i="2"/>
  <c r="P64" i="2"/>
  <c r="O64" i="2"/>
  <c r="N64" i="2"/>
  <c r="M64" i="2"/>
  <c r="L64" i="2"/>
  <c r="K64" i="2"/>
  <c r="J64" i="2"/>
  <c r="I64" i="2"/>
  <c r="H64" i="2"/>
  <c r="U63" i="2"/>
  <c r="U61" i="2"/>
  <c r="U60" i="2"/>
  <c r="U59" i="2"/>
  <c r="U58" i="2"/>
  <c r="U57" i="2"/>
  <c r="U56" i="2"/>
  <c r="U55" i="2"/>
  <c r="U54" i="2"/>
  <c r="U52" i="2"/>
  <c r="U51" i="2"/>
  <c r="U50" i="2"/>
  <c r="T50" i="2"/>
  <c r="S50" i="2"/>
  <c r="R50" i="2"/>
  <c r="Q50" i="2"/>
  <c r="P50" i="2"/>
  <c r="O50" i="2"/>
  <c r="N50" i="2"/>
  <c r="M50" i="2"/>
  <c r="L50" i="2"/>
  <c r="K50" i="2"/>
  <c r="J50" i="2"/>
  <c r="I50" i="2"/>
  <c r="H50" i="2"/>
  <c r="U48" i="2"/>
  <c r="U47" i="2"/>
  <c r="U46" i="2"/>
  <c r="U45" i="2"/>
  <c r="U44" i="2"/>
  <c r="U43" i="2"/>
  <c r="U42" i="2"/>
  <c r="U41" i="2"/>
  <c r="U40" i="2"/>
  <c r="U39" i="2"/>
  <c r="U38" i="2"/>
  <c r="T37" i="2"/>
  <c r="S37" i="2"/>
  <c r="R37" i="2"/>
  <c r="R30" i="2" s="1"/>
  <c r="Q37" i="2"/>
  <c r="P37" i="2"/>
  <c r="O37" i="2"/>
  <c r="N37" i="2"/>
  <c r="M37" i="2"/>
  <c r="L37" i="2"/>
  <c r="L30" i="2" s="1"/>
  <c r="K37" i="2"/>
  <c r="J37" i="2"/>
  <c r="I37" i="2"/>
  <c r="H37" i="2"/>
  <c r="U35" i="2"/>
  <c r="U34" i="2"/>
  <c r="U33" i="2"/>
  <c r="U32" i="2"/>
  <c r="T31" i="2"/>
  <c r="S31" i="2"/>
  <c r="R31" i="2"/>
  <c r="Q31" i="2"/>
  <c r="P31" i="2"/>
  <c r="O31" i="2"/>
  <c r="N31" i="2"/>
  <c r="M31" i="2"/>
  <c r="M30" i="2" s="1"/>
  <c r="L31" i="2"/>
  <c r="K31" i="2"/>
  <c r="J31" i="2"/>
  <c r="I31" i="2"/>
  <c r="H31" i="2"/>
  <c r="S30" i="2"/>
  <c r="I30" i="2"/>
  <c r="U29" i="2"/>
  <c r="U28" i="2"/>
  <c r="U26" i="2"/>
  <c r="U25" i="2"/>
  <c r="U23" i="2" s="1"/>
  <c r="T23" i="2"/>
  <c r="S23" i="2"/>
  <c r="R23" i="2"/>
  <c r="Q23" i="2"/>
  <c r="P23" i="2"/>
  <c r="O23" i="2"/>
  <c r="N23" i="2"/>
  <c r="M23" i="2"/>
  <c r="L23" i="2"/>
  <c r="K23" i="2"/>
  <c r="J23" i="2"/>
  <c r="I23" i="2"/>
  <c r="H23" i="2"/>
  <c r="U22" i="2"/>
  <c r="U21" i="2" s="1"/>
  <c r="T21" i="2"/>
  <c r="S21" i="2"/>
  <c r="R21" i="2"/>
  <c r="Q21" i="2"/>
  <c r="P21" i="2"/>
  <c r="O21" i="2"/>
  <c r="N21" i="2"/>
  <c r="M21" i="2"/>
  <c r="L21" i="2"/>
  <c r="K21" i="2"/>
  <c r="J21" i="2"/>
  <c r="I21" i="2"/>
  <c r="H21" i="2"/>
  <c r="U20" i="2"/>
  <c r="S19" i="2"/>
  <c r="R19" i="2"/>
  <c r="Q19" i="2"/>
  <c r="P19" i="2"/>
  <c r="O19" i="2"/>
  <c r="N19" i="2"/>
  <c r="M19" i="2"/>
  <c r="L19" i="2"/>
  <c r="K19" i="2"/>
  <c r="J19" i="2"/>
  <c r="U17" i="2"/>
  <c r="U16" i="2"/>
  <c r="U15" i="2"/>
  <c r="S14" i="2"/>
  <c r="R14" i="2"/>
  <c r="Q14" i="2"/>
  <c r="P14" i="2"/>
  <c r="O14" i="2"/>
  <c r="N14" i="2"/>
  <c r="M14" i="2"/>
  <c r="L14" i="2"/>
  <c r="K14" i="2"/>
  <c r="U14" i="2" s="1"/>
  <c r="J14" i="2"/>
  <c r="S12" i="2"/>
  <c r="R12" i="2"/>
  <c r="Q12" i="2"/>
  <c r="P12" i="2"/>
  <c r="O12" i="2"/>
  <c r="N12" i="2"/>
  <c r="M12" i="2"/>
  <c r="L12" i="2"/>
  <c r="K12" i="2"/>
  <c r="J12" i="2"/>
  <c r="S11" i="2"/>
  <c r="R11" i="2"/>
  <c r="Q11" i="2"/>
  <c r="P11" i="2"/>
  <c r="O11" i="2"/>
  <c r="N11" i="2"/>
  <c r="M11" i="2"/>
  <c r="L11" i="2"/>
  <c r="K11" i="2"/>
  <c r="J11" i="2"/>
  <c r="S10" i="2"/>
  <c r="R10" i="2"/>
  <c r="Q10" i="2"/>
  <c r="Q7" i="2" s="1"/>
  <c r="Q6" i="2" s="1"/>
  <c r="P10" i="2"/>
  <c r="O10" i="2"/>
  <c r="N10" i="2"/>
  <c r="M10" i="2"/>
  <c r="L10" i="2"/>
  <c r="K10" i="2"/>
  <c r="K7" i="2" s="1"/>
  <c r="K6" i="2" s="1"/>
  <c r="J10" i="2"/>
  <c r="S9" i="2"/>
  <c r="R9" i="2"/>
  <c r="Q9" i="2"/>
  <c r="P9" i="2"/>
  <c r="O9" i="2"/>
  <c r="O7" i="2" s="1"/>
  <c r="O6" i="2" s="1"/>
  <c r="N9" i="2"/>
  <c r="M9" i="2"/>
  <c r="L9" i="2"/>
  <c r="K9" i="2"/>
  <c r="J9" i="2"/>
  <c r="S8" i="2"/>
  <c r="R8" i="2"/>
  <c r="Q8" i="2"/>
  <c r="P8" i="2"/>
  <c r="O8" i="2"/>
  <c r="N8" i="2"/>
  <c r="U8" i="2" s="1"/>
  <c r="M8" i="2"/>
  <c r="L8" i="2"/>
  <c r="K8" i="2"/>
  <c r="J8" i="2"/>
  <c r="T7" i="2"/>
  <c r="T6" i="2" s="1"/>
  <c r="N7" i="2"/>
  <c r="N6" i="2" s="1"/>
  <c r="I7" i="2"/>
  <c r="I6" i="2" s="1"/>
  <c r="H7" i="2"/>
  <c r="H6" i="2" s="1"/>
  <c r="BA13" i="8" l="1"/>
  <c r="BZ12" i="8"/>
  <c r="BZ40" i="8" s="1"/>
  <c r="R13" i="8"/>
  <c r="R12" i="8" s="1"/>
  <c r="CE13" i="8"/>
  <c r="CE12" i="8" s="1"/>
  <c r="CE40" i="8" s="1"/>
  <c r="W13" i="8"/>
  <c r="W54" i="8" s="1"/>
  <c r="CJ13" i="8"/>
  <c r="CJ12" i="8" s="1"/>
  <c r="CJ40" i="8" s="1"/>
  <c r="BK13" i="8"/>
  <c r="BK12" i="8" s="1"/>
  <c r="AV13" i="8"/>
  <c r="AV12" i="8" s="1"/>
  <c r="BU17" i="8"/>
  <c r="BU58" i="8" s="1"/>
  <c r="BA52" i="5"/>
  <c r="CE24" i="5"/>
  <c r="AL99" i="5"/>
  <c r="BF99" i="5"/>
  <c r="M30" i="5"/>
  <c r="W30" i="5"/>
  <c r="BP35" i="5"/>
  <c r="BP106" i="5" s="1"/>
  <c r="CY35" i="5"/>
  <c r="H45" i="5"/>
  <c r="AV45" i="5"/>
  <c r="W59" i="5"/>
  <c r="BK59" i="5"/>
  <c r="CY59" i="5"/>
  <c r="AL59" i="5"/>
  <c r="BZ59" i="5"/>
  <c r="AB59" i="5"/>
  <c r="AV59" i="5"/>
  <c r="CO30" i="5"/>
  <c r="AV103" i="5"/>
  <c r="AL107" i="5"/>
  <c r="BF107" i="5"/>
  <c r="H35" i="5"/>
  <c r="AB35" i="5"/>
  <c r="BZ67" i="5"/>
  <c r="M13" i="5"/>
  <c r="AG24" i="5"/>
  <c r="AQ24" i="5"/>
  <c r="R30" i="5"/>
  <c r="AL102" i="5"/>
  <c r="BF35" i="5"/>
  <c r="BZ35" i="5"/>
  <c r="BU39" i="5"/>
  <c r="BU110" i="5" s="1"/>
  <c r="DD67" i="5"/>
  <c r="DK31" i="5"/>
  <c r="DK30" i="5"/>
  <c r="R24" i="5"/>
  <c r="R95" i="5"/>
  <c r="AL95" i="5"/>
  <c r="BF24" i="5"/>
  <c r="AV96" i="5"/>
  <c r="R98" i="5"/>
  <c r="AL98" i="5"/>
  <c r="AB99" i="5"/>
  <c r="AV30" i="5"/>
  <c r="W102" i="5"/>
  <c r="AQ102" i="5"/>
  <c r="BK102" i="5"/>
  <c r="BA30" i="5"/>
  <c r="CJ30" i="5"/>
  <c r="W104" i="5"/>
  <c r="AQ104" i="5"/>
  <c r="BK104" i="5"/>
  <c r="BA107" i="5"/>
  <c r="AB111" i="5"/>
  <c r="AB39" i="5"/>
  <c r="M45" i="5"/>
  <c r="AG45" i="5"/>
  <c r="BU45" i="5"/>
  <c r="DD45" i="5"/>
  <c r="AB45" i="5"/>
  <c r="W52" i="5"/>
  <c r="L96" i="10"/>
  <c r="M92" i="10"/>
  <c r="DK53" i="5"/>
  <c r="CT24" i="5"/>
  <c r="BA94" i="5" s="1"/>
  <c r="M99" i="5"/>
  <c r="AG99" i="5"/>
  <c r="BA99" i="5"/>
  <c r="CO24" i="5"/>
  <c r="CO23" i="5" s="1"/>
  <c r="BU30" i="5"/>
  <c r="BU101" i="5" s="1"/>
  <c r="W39" i="5"/>
  <c r="H67" i="5"/>
  <c r="M108" i="5"/>
  <c r="AG108" i="5"/>
  <c r="BA108" i="5"/>
  <c r="BF110" i="5"/>
  <c r="AQ45" i="5"/>
  <c r="BK45" i="5"/>
  <c r="BK44" i="5" s="1"/>
  <c r="BZ45" i="5"/>
  <c r="CT45" i="5"/>
  <c r="CT52" i="5"/>
  <c r="BW104" i="5"/>
  <c r="G37" i="10"/>
  <c r="S37" i="10"/>
  <c r="M95" i="5"/>
  <c r="AG95" i="5"/>
  <c r="W96" i="5"/>
  <c r="BK96" i="5"/>
  <c r="M98" i="5"/>
  <c r="AG98" i="5"/>
  <c r="BA98" i="5"/>
  <c r="W99" i="5"/>
  <c r="AQ99" i="5"/>
  <c r="BK99" i="5"/>
  <c r="R101" i="5"/>
  <c r="R103" i="5"/>
  <c r="AL103" i="5"/>
  <c r="BF103" i="5"/>
  <c r="AV104" i="5"/>
  <c r="AB107" i="5"/>
  <c r="AV107" i="5"/>
  <c r="AL35" i="5"/>
  <c r="R111" i="5"/>
  <c r="BF111" i="5"/>
  <c r="R45" i="5"/>
  <c r="DK47" i="5"/>
  <c r="BF45" i="5"/>
  <c r="CO45" i="5"/>
  <c r="AG59" i="5"/>
  <c r="BP59" i="5"/>
  <c r="DD59" i="5"/>
  <c r="DD44" i="5" s="1"/>
  <c r="DD77" i="5" s="1"/>
  <c r="BF59" i="5"/>
  <c r="CT59" i="5"/>
  <c r="BA59" i="5"/>
  <c r="CO59" i="5"/>
  <c r="BW122" i="5"/>
  <c r="DS40" i="8"/>
  <c r="AB79" i="8"/>
  <c r="AV79" i="8"/>
  <c r="I28" i="10"/>
  <c r="T96" i="10"/>
  <c r="DN40" i="8"/>
  <c r="CT40" i="8"/>
  <c r="T46" i="10"/>
  <c r="S91" i="10"/>
  <c r="G96" i="10"/>
  <c r="J16" i="10"/>
  <c r="J14" i="10" s="1"/>
  <c r="T50" i="10"/>
  <c r="I49" i="10"/>
  <c r="BU38" i="8"/>
  <c r="BU79" i="8" s="1"/>
  <c r="AG79" i="8"/>
  <c r="BA79" i="8"/>
  <c r="G16" i="10"/>
  <c r="T18" i="10"/>
  <c r="I65" i="10"/>
  <c r="T75" i="2"/>
  <c r="T77" i="2" s="1"/>
  <c r="J7" i="2"/>
  <c r="J6" i="2" s="1"/>
  <c r="P7" i="2"/>
  <c r="P6" i="2" s="1"/>
  <c r="P75" i="2" s="1"/>
  <c r="P77" i="2" s="1"/>
  <c r="P114" i="2" s="1"/>
  <c r="P116" i="2" s="1"/>
  <c r="U12" i="2"/>
  <c r="U19" i="2"/>
  <c r="U110" i="2"/>
  <c r="L7" i="2"/>
  <c r="L6" i="2" s="1"/>
  <c r="R7" i="2"/>
  <c r="R6" i="2" s="1"/>
  <c r="H30" i="2"/>
  <c r="N30" i="2"/>
  <c r="T30" i="2"/>
  <c r="O30" i="2"/>
  <c r="J96" i="2"/>
  <c r="J80" i="2" s="1"/>
  <c r="J118" i="2" s="1"/>
  <c r="J117" i="2" s="1"/>
  <c r="U85" i="2"/>
  <c r="M7" i="2"/>
  <c r="M6" i="2" s="1"/>
  <c r="S7" i="2"/>
  <c r="S6" i="2" s="1"/>
  <c r="U11" i="2"/>
  <c r="U10" i="2"/>
  <c r="J30" i="2"/>
  <c r="P30" i="2"/>
  <c r="S100" i="2"/>
  <c r="S96" i="2" s="1"/>
  <c r="S80" i="2" s="1"/>
  <c r="U113" i="2"/>
  <c r="U119" i="2"/>
  <c r="CY30" i="5"/>
  <c r="BU24" i="5"/>
  <c r="BZ24" i="5"/>
  <c r="AG94" i="5" s="1"/>
  <c r="DD24" i="5"/>
  <c r="DD23" i="5" s="1"/>
  <c r="AB110" i="5"/>
  <c r="M111" i="5"/>
  <c r="AQ111" i="5"/>
  <c r="W45" i="5"/>
  <c r="W44" i="5" s="1"/>
  <c r="BA45" i="5"/>
  <c r="CJ45" i="5"/>
  <c r="CJ44" i="5" s="1"/>
  <c r="AG52" i="5"/>
  <c r="BK52" i="5"/>
  <c r="CY52" i="5"/>
  <c r="CY44" i="5" s="1"/>
  <c r="AL67" i="5"/>
  <c r="BP67" i="5"/>
  <c r="CY67" i="5"/>
  <c r="BW114" i="5"/>
  <c r="W24" i="5"/>
  <c r="AQ101" i="5"/>
  <c r="W101" i="5"/>
  <c r="CT30" i="5"/>
  <c r="CE35" i="5"/>
  <c r="DK37" i="5"/>
  <c r="AG110" i="5"/>
  <c r="M52" i="5"/>
  <c r="AQ52" i="5"/>
  <c r="AQ44" i="5" s="1"/>
  <c r="BU52" i="5"/>
  <c r="BZ52" i="5"/>
  <c r="DD52" i="5"/>
  <c r="BW137" i="5"/>
  <c r="H24" i="5"/>
  <c r="AB94" i="5"/>
  <c r="CY24" i="5"/>
  <c r="BA35" i="5"/>
  <c r="BA106" i="5" s="1"/>
  <c r="AQ110" i="5"/>
  <c r="AB52" i="5"/>
  <c r="BF52" i="5"/>
  <c r="CO44" i="5"/>
  <c r="R67" i="5"/>
  <c r="AV67" i="5"/>
  <c r="CE67" i="5"/>
  <c r="BW129" i="5"/>
  <c r="H30" i="5"/>
  <c r="AB106" i="5"/>
  <c r="AB95" i="5"/>
  <c r="BF95" i="5"/>
  <c r="M96" i="5"/>
  <c r="AQ96" i="5"/>
  <c r="AB98" i="5"/>
  <c r="BF98" i="5"/>
  <c r="M103" i="5"/>
  <c r="AQ103" i="5"/>
  <c r="AB108" i="5"/>
  <c r="BF108" i="5"/>
  <c r="AV39" i="5"/>
  <c r="M59" i="5"/>
  <c r="M44" i="5" s="1"/>
  <c r="AQ59" i="5"/>
  <c r="BU59" i="5"/>
  <c r="CE59" i="5"/>
  <c r="BW99" i="5"/>
  <c r="AV24" i="5"/>
  <c r="CJ24" i="5"/>
  <c r="CJ23" i="5" s="1"/>
  <c r="M101" i="5"/>
  <c r="W35" i="5"/>
  <c r="W106" i="5" s="1"/>
  <c r="R39" i="5"/>
  <c r="R110" i="5" s="1"/>
  <c r="H52" i="5"/>
  <c r="H44" i="5" s="1"/>
  <c r="AL52" i="5"/>
  <c r="AL44" i="5" s="1"/>
  <c r="BP52" i="5"/>
  <c r="BT95" i="6"/>
  <c r="AF215" i="6"/>
  <c r="AF14" i="6" s="1"/>
  <c r="BO19" i="6"/>
  <c r="BT28" i="6"/>
  <c r="BJ284" i="6"/>
  <c r="BJ16" i="6"/>
  <c r="AU62" i="6"/>
  <c r="BT131" i="6"/>
  <c r="BJ51" i="6"/>
  <c r="AZ62" i="6"/>
  <c r="AK120" i="6"/>
  <c r="BO45" i="6"/>
  <c r="Q19" i="6"/>
  <c r="AK163" i="6"/>
  <c r="L168" i="6"/>
  <c r="BE168" i="6"/>
  <c r="BT238" i="6"/>
  <c r="AU19" i="6"/>
  <c r="AU18" i="6" s="1"/>
  <c r="AU13" i="6" s="1"/>
  <c r="Q27" i="6"/>
  <c r="AF51" i="6"/>
  <c r="BO168" i="6"/>
  <c r="AZ178" i="6"/>
  <c r="BT206" i="6"/>
  <c r="AP19" i="6"/>
  <c r="AP18" i="6" s="1"/>
  <c r="AP73" i="6"/>
  <c r="V168" i="6"/>
  <c r="BE178" i="6"/>
  <c r="BJ237" i="6"/>
  <c r="BJ268" i="6"/>
  <c r="G273" i="6"/>
  <c r="Q65" i="7"/>
  <c r="Q15" i="7" s="1"/>
  <c r="BT110" i="7"/>
  <c r="BT31" i="7"/>
  <c r="BT60" i="7"/>
  <c r="BT135" i="9"/>
  <c r="BT151" i="9"/>
  <c r="BT163" i="9"/>
  <c r="L62" i="9"/>
  <c r="L14" i="9" s="1"/>
  <c r="AA17" i="9"/>
  <c r="AA13" i="9" s="1"/>
  <c r="BT22" i="9"/>
  <c r="BT77" i="9"/>
  <c r="BT87" i="9"/>
  <c r="BT123" i="9"/>
  <c r="BT131" i="9"/>
  <c r="BT115" i="9"/>
  <c r="BT171" i="9"/>
  <c r="Q28" i="10"/>
  <c r="L16" i="10"/>
  <c r="O28" i="10"/>
  <c r="I37" i="10"/>
  <c r="N49" i="10"/>
  <c r="G65" i="10"/>
  <c r="O91" i="10"/>
  <c r="S92" i="10"/>
  <c r="T20" i="10"/>
  <c r="J37" i="10"/>
  <c r="Q49" i="10"/>
  <c r="R58" i="10"/>
  <c r="R56" i="10" s="1"/>
  <c r="T67" i="10"/>
  <c r="I16" i="10"/>
  <c r="M37" i="10"/>
  <c r="L44" i="10"/>
  <c r="H44" i="10"/>
  <c r="G58" i="10"/>
  <c r="M28" i="10"/>
  <c r="S28" i="10"/>
  <c r="Q16" i="10"/>
  <c r="P37" i="10"/>
  <c r="R44" i="10"/>
  <c r="G44" i="10"/>
  <c r="M44" i="10"/>
  <c r="H49" i="10"/>
  <c r="G49" i="10"/>
  <c r="O58" i="10"/>
  <c r="J91" i="10"/>
  <c r="J90" i="10" s="1"/>
  <c r="S96" i="10"/>
  <c r="P96" i="10"/>
  <c r="P14" i="10"/>
  <c r="T90" i="10"/>
  <c r="O56" i="10"/>
  <c r="H28" i="10"/>
  <c r="H37" i="10"/>
  <c r="T39" i="10"/>
  <c r="L37" i="10"/>
  <c r="R37" i="10"/>
  <c r="T12" i="10"/>
  <c r="I14" i="10"/>
  <c r="T21" i="10"/>
  <c r="G12" i="10"/>
  <c r="G28" i="10" s="1"/>
  <c r="L28" i="10"/>
  <c r="R28" i="10"/>
  <c r="T17" i="10"/>
  <c r="H16" i="10"/>
  <c r="K14" i="10"/>
  <c r="Q14" i="10"/>
  <c r="J28" i="10"/>
  <c r="P28" i="10"/>
  <c r="K37" i="10"/>
  <c r="Q37" i="10"/>
  <c r="J44" i="10"/>
  <c r="P44" i="10"/>
  <c r="L49" i="10"/>
  <c r="L58" i="10"/>
  <c r="T59" i="10"/>
  <c r="T81" i="10"/>
  <c r="G90" i="10"/>
  <c r="G88" i="10" s="1"/>
  <c r="G84" i="10" s="1"/>
  <c r="G80" i="10" s="1"/>
  <c r="P90" i="10"/>
  <c r="N96" i="10"/>
  <c r="I44" i="10"/>
  <c r="T60" i="10"/>
  <c r="O92" i="10"/>
  <c r="T10" i="10"/>
  <c r="R14" i="10"/>
  <c r="N16" i="10"/>
  <c r="K28" i="10"/>
  <c r="T33" i="10"/>
  <c r="T38" i="10"/>
  <c r="K44" i="10"/>
  <c r="Q44" i="10"/>
  <c r="M49" i="10"/>
  <c r="S49" i="10"/>
  <c r="T53" i="10"/>
  <c r="K56" i="10"/>
  <c r="Q56" i="10"/>
  <c r="M58" i="10"/>
  <c r="T63" i="10"/>
  <c r="I91" i="10"/>
  <c r="R91" i="10"/>
  <c r="H96" i="10"/>
  <c r="N91" i="10"/>
  <c r="M14" i="10"/>
  <c r="S14" i="10"/>
  <c r="T45" i="10"/>
  <c r="T66" i="10"/>
  <c r="T72" i="10"/>
  <c r="Q96" i="10"/>
  <c r="L92" i="10"/>
  <c r="R92" i="10"/>
  <c r="N37" i="10"/>
  <c r="T41" i="10"/>
  <c r="S44" i="10"/>
  <c r="O49" i="10"/>
  <c r="I58" i="10"/>
  <c r="T62" i="10"/>
  <c r="S65" i="10"/>
  <c r="T70" i="10"/>
  <c r="T82" i="10"/>
  <c r="L91" i="10"/>
  <c r="K96" i="10"/>
  <c r="I92" i="10"/>
  <c r="N28" i="10"/>
  <c r="N44" i="10"/>
  <c r="T47" i="10"/>
  <c r="J49" i="10"/>
  <c r="P49" i="10"/>
  <c r="T51" i="10"/>
  <c r="H56" i="10"/>
  <c r="J58" i="10"/>
  <c r="P58" i="10"/>
  <c r="T88" i="10"/>
  <c r="M90" i="10"/>
  <c r="K91" i="10"/>
  <c r="Q91" i="10"/>
  <c r="I96" i="10"/>
  <c r="O96" i="10"/>
  <c r="M40" i="8"/>
  <c r="M53" i="8"/>
  <c r="W73" i="8"/>
  <c r="BA73" i="8"/>
  <c r="R56" i="8"/>
  <c r="BU59" i="8"/>
  <c r="AB58" i="8"/>
  <c r="BF58" i="8"/>
  <c r="M54" i="8"/>
  <c r="AB13" i="8"/>
  <c r="AB54" i="8" s="1"/>
  <c r="AB68" i="8"/>
  <c r="BF68" i="8"/>
  <c r="AL73" i="8"/>
  <c r="CY13" i="8"/>
  <c r="CY12" i="8" s="1"/>
  <c r="CY40" i="8" s="1"/>
  <c r="AL58" i="8"/>
  <c r="AV56" i="8"/>
  <c r="M58" i="8"/>
  <c r="AL68" i="8"/>
  <c r="R73" i="8"/>
  <c r="AV73" i="8"/>
  <c r="BK40" i="8"/>
  <c r="BK81" i="8" s="1"/>
  <c r="BK53" i="8"/>
  <c r="BA54" i="8"/>
  <c r="BA12" i="8"/>
  <c r="R53" i="8"/>
  <c r="R40" i="8"/>
  <c r="R81" i="8" s="1"/>
  <c r="H40" i="8"/>
  <c r="AG40" i="8"/>
  <c r="AG81" i="8" s="1"/>
  <c r="AG53" i="8"/>
  <c r="AV53" i="8"/>
  <c r="AV40" i="8"/>
  <c r="AV81" i="8" s="1"/>
  <c r="R54" i="8"/>
  <c r="AV54" i="8"/>
  <c r="AL13" i="8"/>
  <c r="BP13" i="8"/>
  <c r="BU32" i="8"/>
  <c r="BU73" i="8" s="1"/>
  <c r="W56" i="8"/>
  <c r="BA56" i="8"/>
  <c r="AQ13" i="8"/>
  <c r="BU13" i="8"/>
  <c r="BU27" i="8"/>
  <c r="BU68" i="8" s="1"/>
  <c r="AG54" i="8"/>
  <c r="BK54" i="8"/>
  <c r="M79" i="8"/>
  <c r="BF12" i="8"/>
  <c r="AZ104" i="9"/>
  <c r="Q72" i="9"/>
  <c r="BT109" i="9"/>
  <c r="BT20" i="9"/>
  <c r="AK62" i="9"/>
  <c r="AP72" i="9"/>
  <c r="AP15" i="9" s="1"/>
  <c r="BT19" i="9"/>
  <c r="AZ72" i="9"/>
  <c r="AZ15" i="9" s="1"/>
  <c r="BT169" i="9"/>
  <c r="BT57" i="9"/>
  <c r="BE62" i="9"/>
  <c r="BE14" i="9" s="1"/>
  <c r="AK107" i="9"/>
  <c r="AK103" i="9" s="1"/>
  <c r="Q155" i="9"/>
  <c r="Q167" i="9"/>
  <c r="V167" i="9"/>
  <c r="AK17" i="9"/>
  <c r="AK13" i="9" s="1"/>
  <c r="BT42" i="9"/>
  <c r="BT47" i="9"/>
  <c r="BT97" i="9"/>
  <c r="AP107" i="9"/>
  <c r="AP17" i="9"/>
  <c r="AZ17" i="9"/>
  <c r="BT52" i="9"/>
  <c r="BO14" i="9"/>
  <c r="V72" i="9"/>
  <c r="BO72" i="9"/>
  <c r="BO103" i="9"/>
  <c r="BT108" i="9"/>
  <c r="BT119" i="9"/>
  <c r="BT18" i="9"/>
  <c r="BT17" i="9" s="1"/>
  <c r="BT13" i="9" s="1"/>
  <c r="BT37" i="9"/>
  <c r="AU17" i="9"/>
  <c r="V17" i="9"/>
  <c r="BE17" i="9"/>
  <c r="AF18" i="9"/>
  <c r="BJ18" i="9"/>
  <c r="V155" i="9"/>
  <c r="BE155" i="9"/>
  <c r="BT157" i="9"/>
  <c r="BT155" i="9" s="1"/>
  <c r="BT104" i="9" s="1"/>
  <c r="BT159" i="9"/>
  <c r="Q105" i="9"/>
  <c r="AU105" i="9"/>
  <c r="AU107" i="9"/>
  <c r="Q104" i="9"/>
  <c r="BO18" i="9"/>
  <c r="AF62" i="9"/>
  <c r="AU72" i="9"/>
  <c r="G102" i="9"/>
  <c r="AA155" i="9"/>
  <c r="BJ155" i="9"/>
  <c r="BE105" i="9"/>
  <c r="V105" i="9"/>
  <c r="AZ167" i="9"/>
  <c r="AF72" i="9"/>
  <c r="Q107" i="9"/>
  <c r="BJ14" i="9"/>
  <c r="L13" i="9"/>
  <c r="AK14" i="9"/>
  <c r="Q62" i="9"/>
  <c r="AU62" i="9"/>
  <c r="BT82" i="9"/>
  <c r="L107" i="9"/>
  <c r="BT127" i="9"/>
  <c r="AA167" i="9"/>
  <c r="Q15" i="9"/>
  <c r="BJ72" i="9"/>
  <c r="AP103" i="9"/>
  <c r="AP62" i="9"/>
  <c r="V62" i="9"/>
  <c r="AZ62" i="9"/>
  <c r="AA72" i="9"/>
  <c r="BE72" i="9"/>
  <c r="BT92" i="9"/>
  <c r="AF107" i="9"/>
  <c r="BJ107" i="9"/>
  <c r="L104" i="9"/>
  <c r="AF167" i="9"/>
  <c r="BJ167" i="9"/>
  <c r="AF155" i="9"/>
  <c r="BO155" i="9"/>
  <c r="AK167" i="9"/>
  <c r="BO167" i="9"/>
  <c r="BT64" i="9"/>
  <c r="BT62" i="9" s="1"/>
  <c r="BT14" i="9" s="1"/>
  <c r="BT73" i="9"/>
  <c r="BT72" i="9" s="1"/>
  <c r="BT15" i="9" s="1"/>
  <c r="V107" i="9"/>
  <c r="AZ107" i="9"/>
  <c r="L167" i="9"/>
  <c r="AP167" i="9"/>
  <c r="BT168" i="9"/>
  <c r="AA62" i="9"/>
  <c r="AK72" i="9"/>
  <c r="AA107" i="9"/>
  <c r="BE107" i="9"/>
  <c r="AK155" i="9"/>
  <c r="BT32" i="7"/>
  <c r="BT30" i="7" s="1"/>
  <c r="BT35" i="7"/>
  <c r="AA14" i="7"/>
  <c r="BT124" i="7"/>
  <c r="L122" i="7"/>
  <c r="BJ13" i="7"/>
  <c r="Q30" i="7"/>
  <c r="Q14" i="7" s="1"/>
  <c r="BT33" i="7"/>
  <c r="BJ65" i="7"/>
  <c r="G12" i="7"/>
  <c r="Q13" i="7"/>
  <c r="AU13" i="7"/>
  <c r="AZ15" i="7"/>
  <c r="BT107" i="7"/>
  <c r="L14" i="7"/>
  <c r="AP14" i="7"/>
  <c r="BT66" i="7"/>
  <c r="BT86" i="7"/>
  <c r="BT113" i="7"/>
  <c r="AZ122" i="7"/>
  <c r="BT125" i="7"/>
  <c r="BT123" i="7"/>
  <c r="AK65" i="7"/>
  <c r="V14" i="7"/>
  <c r="BE15" i="7"/>
  <c r="BE30" i="7"/>
  <c r="BT40" i="7"/>
  <c r="BT45" i="7"/>
  <c r="BT55" i="7"/>
  <c r="L65" i="7"/>
  <c r="AP65" i="7"/>
  <c r="BT77" i="7"/>
  <c r="BT83" i="7"/>
  <c r="AA122" i="7"/>
  <c r="BE122" i="7"/>
  <c r="AZ13" i="7"/>
  <c r="AF15" i="7"/>
  <c r="BJ15" i="7"/>
  <c r="BJ30" i="7"/>
  <c r="AU65" i="7"/>
  <c r="BT71" i="7"/>
  <c r="BT95" i="7"/>
  <c r="BT119" i="7"/>
  <c r="V122" i="7"/>
  <c r="AF122" i="7"/>
  <c r="BJ122" i="7"/>
  <c r="BO65" i="7"/>
  <c r="AA13" i="7"/>
  <c r="BE13" i="7"/>
  <c r="L16" i="7"/>
  <c r="BT18" i="7"/>
  <c r="V65" i="7"/>
  <c r="AP122" i="7"/>
  <c r="BT127" i="7"/>
  <c r="BT137" i="7"/>
  <c r="BT147" i="7"/>
  <c r="BT92" i="7"/>
  <c r="BT104" i="7"/>
  <c r="AK122" i="7"/>
  <c r="BO122" i="7"/>
  <c r="BT132" i="7"/>
  <c r="BT142" i="7"/>
  <c r="BT152" i="7"/>
  <c r="AF283" i="6"/>
  <c r="AZ313" i="6"/>
  <c r="BT100" i="6"/>
  <c r="V215" i="6"/>
  <c r="BJ283" i="6"/>
  <c r="AA284" i="6"/>
  <c r="Q313" i="6"/>
  <c r="AP215" i="6"/>
  <c r="AK313" i="6"/>
  <c r="AK284" i="6" s="1"/>
  <c r="AA19" i="6"/>
  <c r="AA18" i="6" s="1"/>
  <c r="BT20" i="6"/>
  <c r="BT115" i="6"/>
  <c r="L215" i="6"/>
  <c r="AZ215" i="6"/>
  <c r="BT27" i="6"/>
  <c r="Q18" i="6"/>
  <c r="L33" i="6"/>
  <c r="BT58" i="6"/>
  <c r="AK73" i="6"/>
  <c r="BO18" i="6"/>
  <c r="AP33" i="6"/>
  <c r="BT34" i="6"/>
  <c r="BT46" i="6"/>
  <c r="BE62" i="6"/>
  <c r="BT333" i="6"/>
  <c r="AK19" i="6"/>
  <c r="AK39" i="6"/>
  <c r="BO39" i="6"/>
  <c r="AF19" i="6"/>
  <c r="BT67" i="6"/>
  <c r="BT21" i="6"/>
  <c r="AP120" i="6"/>
  <c r="AZ158" i="6"/>
  <c r="AK215" i="6"/>
  <c r="BT221" i="6"/>
  <c r="G18" i="6"/>
  <c r="L27" i="6"/>
  <c r="AP27" i="6"/>
  <c r="AZ45" i="6"/>
  <c r="AU45" i="6"/>
  <c r="V51" i="6"/>
  <c r="AZ51" i="6"/>
  <c r="AZ57" i="6"/>
  <c r="BT84" i="6"/>
  <c r="BT137" i="6"/>
  <c r="AF163" i="6"/>
  <c r="BJ163" i="6"/>
  <c r="BO215" i="6"/>
  <c r="G237" i="6"/>
  <c r="V313" i="6"/>
  <c r="BE313" i="6"/>
  <c r="L62" i="6"/>
  <c r="BT63" i="6"/>
  <c r="BT74" i="6"/>
  <c r="V73" i="6"/>
  <c r="AZ73" i="6"/>
  <c r="BT148" i="6"/>
  <c r="BT169" i="6"/>
  <c r="BJ168" i="6"/>
  <c r="BT218" i="6"/>
  <c r="BT217" i="6"/>
  <c r="AA33" i="6"/>
  <c r="BE33" i="6"/>
  <c r="L45" i="6"/>
  <c r="AZ19" i="6"/>
  <c r="BJ39" i="6"/>
  <c r="V39" i="6"/>
  <c r="AZ39" i="6"/>
  <c r="BO120" i="6"/>
  <c r="BJ143" i="6"/>
  <c r="BT144" i="6"/>
  <c r="AK158" i="6"/>
  <c r="BO158" i="6"/>
  <c r="BJ173" i="6"/>
  <c r="AF178" i="6"/>
  <c r="BJ178" i="6"/>
  <c r="AU283" i="6"/>
  <c r="L19" i="6"/>
  <c r="AK57" i="6"/>
  <c r="Q57" i="6"/>
  <c r="AP62" i="6"/>
  <c r="V19" i="6"/>
  <c r="BE19" i="6"/>
  <c r="BT22" i="6"/>
  <c r="AA27" i="6"/>
  <c r="BE27" i="6"/>
  <c r="AF45" i="6"/>
  <c r="AK51" i="6"/>
  <c r="BO51" i="6"/>
  <c r="L57" i="6"/>
  <c r="AA62" i="6"/>
  <c r="V62" i="6"/>
  <c r="BO73" i="6"/>
  <c r="BT79" i="6"/>
  <c r="AU163" i="6"/>
  <c r="BJ19" i="6"/>
  <c r="AA73" i="6"/>
  <c r="BE73" i="6"/>
  <c r="BT90" i="6"/>
  <c r="BT121" i="6"/>
  <c r="BT125" i="6"/>
  <c r="BO143" i="6"/>
  <c r="BT159" i="6"/>
  <c r="AP163" i="6"/>
  <c r="BT179" i="6"/>
  <c r="BT192" i="6"/>
  <c r="G216" i="6"/>
  <c r="BT231" i="6"/>
  <c r="BT273" i="6"/>
  <c r="BT301" i="6"/>
  <c r="BO284" i="6"/>
  <c r="BT164" i="6"/>
  <c r="V178" i="6"/>
  <c r="AP178" i="6"/>
  <c r="BT324" i="6"/>
  <c r="BT336" i="6"/>
  <c r="BT292" i="6"/>
  <c r="BT298" i="6"/>
  <c r="BT307" i="6"/>
  <c r="BT40" i="6"/>
  <c r="BT52" i="6"/>
  <c r="BT154" i="6"/>
  <c r="AA158" i="6"/>
  <c r="BE158" i="6"/>
  <c r="V163" i="6"/>
  <c r="AZ163" i="6"/>
  <c r="AK168" i="6"/>
  <c r="AF168" i="6"/>
  <c r="AA215" i="6"/>
  <c r="BE215" i="6"/>
  <c r="BT219" i="6"/>
  <c r="BT263" i="6"/>
  <c r="BT278" i="6"/>
  <c r="BT286" i="6"/>
  <c r="BT314" i="6"/>
  <c r="L313" i="6"/>
  <c r="BT327" i="6"/>
  <c r="BT110" i="6"/>
  <c r="Q153" i="6"/>
  <c r="AU173" i="6"/>
  <c r="BT237" i="6"/>
  <c r="BT252" i="6"/>
  <c r="BT310" i="6"/>
  <c r="G284" i="6"/>
  <c r="BT317" i="6"/>
  <c r="BJ216" i="6"/>
  <c r="BJ247" i="6"/>
  <c r="AP313" i="6"/>
  <c r="BT248" i="6"/>
  <c r="BT174" i="6"/>
  <c r="BT227" i="6"/>
  <c r="BT243" i="6"/>
  <c r="BT269" i="6"/>
  <c r="BT295" i="6"/>
  <c r="BT304" i="6"/>
  <c r="BT330" i="6"/>
  <c r="BT339" i="6"/>
  <c r="DK14" i="5"/>
  <c r="BU87" i="5"/>
  <c r="BA23" i="5"/>
  <c r="W110" i="5"/>
  <c r="BU85" i="5"/>
  <c r="CY23" i="5"/>
  <c r="AB44" i="5"/>
  <c r="M94" i="5"/>
  <c r="AG84" i="5"/>
  <c r="BK84" i="5"/>
  <c r="BU88" i="5"/>
  <c r="BU91" i="5"/>
  <c r="R94" i="5"/>
  <c r="M110" i="5"/>
  <c r="DK52" i="5"/>
  <c r="AQ83" i="5"/>
  <c r="BP96" i="5"/>
  <c r="BP24" i="5"/>
  <c r="AL104" i="5"/>
  <c r="AL30" i="5"/>
  <c r="AL101" i="5" s="1"/>
  <c r="M107" i="5"/>
  <c r="M35" i="5"/>
  <c r="AL111" i="5"/>
  <c r="AL39" i="5"/>
  <c r="AL110" i="5" s="1"/>
  <c r="BP111" i="5"/>
  <c r="BP39" i="5"/>
  <c r="BP110" i="5" s="1"/>
  <c r="BK111" i="5"/>
  <c r="R13" i="5"/>
  <c r="AV13" i="5"/>
  <c r="W84" i="5"/>
  <c r="BA84" i="5"/>
  <c r="BK95" i="5"/>
  <c r="BK24" i="5"/>
  <c r="AB102" i="5"/>
  <c r="AB30" i="5"/>
  <c r="BF102" i="5"/>
  <c r="BF30" i="5"/>
  <c r="AG103" i="5"/>
  <c r="AG30" i="5"/>
  <c r="AG101" i="5" s="1"/>
  <c r="BK103" i="5"/>
  <c r="BK30" i="5"/>
  <c r="BK101" i="5" s="1"/>
  <c r="AG67" i="5"/>
  <c r="BK67" i="5"/>
  <c r="CT67" i="5"/>
  <c r="AQ84" i="5"/>
  <c r="W13" i="5"/>
  <c r="BA13" i="5"/>
  <c r="AB84" i="5"/>
  <c r="BF84" i="5"/>
  <c r="W23" i="5"/>
  <c r="AG106" i="5"/>
  <c r="AV110" i="5"/>
  <c r="AB67" i="5"/>
  <c r="BF67" i="5"/>
  <c r="CO67" i="5"/>
  <c r="BU98" i="5"/>
  <c r="AV99" i="5"/>
  <c r="R102" i="5"/>
  <c r="AG107" i="5"/>
  <c r="AL108" i="5"/>
  <c r="AV102" i="5"/>
  <c r="BK107" i="5"/>
  <c r="M83" i="5"/>
  <c r="BP104" i="5"/>
  <c r="BP30" i="5"/>
  <c r="BP101" i="5" s="1"/>
  <c r="AQ107" i="5"/>
  <c r="AQ35" i="5"/>
  <c r="BU107" i="5"/>
  <c r="BU35" i="5"/>
  <c r="AG13" i="5"/>
  <c r="BK13" i="5"/>
  <c r="AL84" i="5"/>
  <c r="BP84" i="5"/>
  <c r="AL24" i="5"/>
  <c r="AB96" i="5"/>
  <c r="BF96" i="5"/>
  <c r="BU94" i="5"/>
  <c r="DK28" i="5"/>
  <c r="AV101" i="5"/>
  <c r="AB104" i="5"/>
  <c r="BF104" i="5"/>
  <c r="DK35" i="5"/>
  <c r="W67" i="5"/>
  <c r="BA67" i="5"/>
  <c r="CJ67" i="5"/>
  <c r="DK68" i="5"/>
  <c r="DK50" i="5"/>
  <c r="AL83" i="5"/>
  <c r="BP83" i="5"/>
  <c r="BU14" i="5"/>
  <c r="W95" i="5"/>
  <c r="BA95" i="5"/>
  <c r="BA101" i="5"/>
  <c r="W103" i="5"/>
  <c r="BA103" i="5"/>
  <c r="BF106" i="5"/>
  <c r="R108" i="5"/>
  <c r="R35" i="5"/>
  <c r="R106" i="5" s="1"/>
  <c r="AV108" i="5"/>
  <c r="AV35" i="5"/>
  <c r="BK110" i="5"/>
  <c r="R44" i="5"/>
  <c r="AV44" i="5"/>
  <c r="CE44" i="5"/>
  <c r="DK49" i="5"/>
  <c r="BF83" i="5"/>
  <c r="BW85" i="5"/>
  <c r="AG111" i="5"/>
  <c r="DK67" i="5"/>
  <c r="K96" i="2"/>
  <c r="K80" i="2" s="1"/>
  <c r="K118" i="2" s="1"/>
  <c r="K117" i="2" s="1"/>
  <c r="O118" i="2"/>
  <c r="O117" i="2" s="1"/>
  <c r="U37" i="2"/>
  <c r="U31" i="2"/>
  <c r="U30" i="2" s="1"/>
  <c r="AA117" i="2"/>
  <c r="U120" i="2"/>
  <c r="H75" i="2"/>
  <c r="H77" i="2" s="1"/>
  <c r="H114" i="2" s="1"/>
  <c r="S75" i="2"/>
  <c r="S77" i="2" s="1"/>
  <c r="K30" i="2"/>
  <c r="K75" i="2" s="1"/>
  <c r="K77" i="2" s="1"/>
  <c r="Q30" i="2"/>
  <c r="U64" i="2"/>
  <c r="T114" i="2"/>
  <c r="T116" i="2" s="1"/>
  <c r="R75" i="2"/>
  <c r="R77" i="2" s="1"/>
  <c r="M75" i="2"/>
  <c r="M77" i="2" s="1"/>
  <c r="M114" i="2" s="1"/>
  <c r="M116" i="2" s="1"/>
  <c r="I75" i="2"/>
  <c r="I77" i="2" s="1"/>
  <c r="R96" i="2"/>
  <c r="R80" i="2" s="1"/>
  <c r="L75" i="2"/>
  <c r="L77" i="2" s="1"/>
  <c r="L114" i="2" s="1"/>
  <c r="L116" i="2" s="1"/>
  <c r="N75" i="2"/>
  <c r="N77" i="2" s="1"/>
  <c r="N114" i="2" s="1"/>
  <c r="N116" i="2" s="1"/>
  <c r="O75" i="2"/>
  <c r="O77" i="2" s="1"/>
  <c r="O114" i="2" s="1"/>
  <c r="O116" i="2" s="1"/>
  <c r="O135" i="2" s="1"/>
  <c r="O141" i="2" s="1"/>
  <c r="Q118" i="2"/>
  <c r="Q117" i="2" s="1"/>
  <c r="L118" i="2"/>
  <c r="L117" i="2" s="1"/>
  <c r="M118" i="2"/>
  <c r="M117" i="2" s="1"/>
  <c r="Q75" i="2"/>
  <c r="Q77" i="2" s="1"/>
  <c r="Q114" i="2" s="1"/>
  <c r="Q116" i="2" s="1"/>
  <c r="J75" i="2"/>
  <c r="J77" i="2" s="1"/>
  <c r="P118" i="2"/>
  <c r="P117" i="2" s="1"/>
  <c r="U9" i="2"/>
  <c r="I96" i="2"/>
  <c r="N118" i="2"/>
  <c r="N117" i="2" s="1"/>
  <c r="T118" i="2"/>
  <c r="T117" i="2" s="1"/>
  <c r="U109" i="2"/>
  <c r="W12" i="8" l="1"/>
  <c r="W53" i="8" s="1"/>
  <c r="M81" i="8"/>
  <c r="AB12" i="8"/>
  <c r="CE77" i="5"/>
  <c r="BF94" i="5"/>
  <c r="CE23" i="5"/>
  <c r="CT44" i="5"/>
  <c r="BU44" i="5"/>
  <c r="BP44" i="5"/>
  <c r="CJ77" i="5"/>
  <c r="BZ44" i="5"/>
  <c r="BZ23" i="5"/>
  <c r="BW113" i="5"/>
  <c r="AG44" i="5"/>
  <c r="AL106" i="5"/>
  <c r="CY77" i="5"/>
  <c r="CO77" i="5"/>
  <c r="CT23" i="5"/>
  <c r="BA93" i="5" s="1"/>
  <c r="AV94" i="5"/>
  <c r="AG23" i="5"/>
  <c r="G35" i="10"/>
  <c r="G30" i="10" s="1"/>
  <c r="BF44" i="5"/>
  <c r="W94" i="5"/>
  <c r="BA44" i="5"/>
  <c r="DK44" i="5"/>
  <c r="G56" i="10"/>
  <c r="Q135" i="2"/>
  <c r="Q141" i="2" s="1"/>
  <c r="U100" i="2"/>
  <c r="U7" i="2"/>
  <c r="U6" i="2" s="1"/>
  <c r="J114" i="2"/>
  <c r="J116" i="2" s="1"/>
  <c r="K114" i="2"/>
  <c r="K116" i="2" s="1"/>
  <c r="K135" i="2" s="1"/>
  <c r="K141" i="2" s="1"/>
  <c r="BZ77" i="5"/>
  <c r="H23" i="5"/>
  <c r="H77" i="5" s="1"/>
  <c r="BW84" i="5"/>
  <c r="W93" i="5"/>
  <c r="AQ94" i="5"/>
  <c r="BT107" i="9"/>
  <c r="BT103" i="9" s="1"/>
  <c r="S90" i="10"/>
  <c r="L14" i="10"/>
  <c r="M88" i="10"/>
  <c r="N35" i="10"/>
  <c r="T37" i="10"/>
  <c r="P88" i="10"/>
  <c r="T58" i="10"/>
  <c r="K35" i="10"/>
  <c r="R35" i="10"/>
  <c r="S88" i="10"/>
  <c r="R90" i="10"/>
  <c r="L56" i="10"/>
  <c r="O35" i="10"/>
  <c r="N14" i="10"/>
  <c r="Q90" i="10"/>
  <c r="T84" i="10"/>
  <c r="P56" i="10"/>
  <c r="L90" i="10"/>
  <c r="I56" i="10"/>
  <c r="T65" i="10"/>
  <c r="I90" i="10"/>
  <c r="I35" i="10"/>
  <c r="M35" i="10"/>
  <c r="T16" i="10"/>
  <c r="L35" i="10"/>
  <c r="J56" i="10"/>
  <c r="J88" i="10"/>
  <c r="O90" i="10"/>
  <c r="T80" i="10"/>
  <c r="S56" i="10"/>
  <c r="H14" i="10"/>
  <c r="K90" i="10"/>
  <c r="S35" i="10"/>
  <c r="T44" i="10"/>
  <c r="N90" i="10"/>
  <c r="M56" i="10"/>
  <c r="H35" i="10"/>
  <c r="T49" i="10"/>
  <c r="H88" i="10"/>
  <c r="T28" i="10"/>
  <c r="Q35" i="10"/>
  <c r="P35" i="10"/>
  <c r="J35" i="10"/>
  <c r="BA53" i="8"/>
  <c r="BA40" i="8"/>
  <c r="BA81" i="8" s="1"/>
  <c r="BP12" i="8"/>
  <c r="BP54" i="8"/>
  <c r="BF40" i="8"/>
  <c r="BF81" i="8" s="1"/>
  <c r="BF53" i="8"/>
  <c r="BU12" i="8"/>
  <c r="BU54" i="8"/>
  <c r="AL12" i="8"/>
  <c r="AL54" i="8"/>
  <c r="AB40" i="8"/>
  <c r="AB81" i="8" s="1"/>
  <c r="AB53" i="8"/>
  <c r="AQ54" i="8"/>
  <c r="AQ12" i="8"/>
  <c r="BT167" i="9"/>
  <c r="BT105" i="9" s="1"/>
  <c r="BT102" i="9" s="1"/>
  <c r="BE103" i="9"/>
  <c r="AZ103" i="9"/>
  <c r="AK105" i="9"/>
  <c r="BJ103" i="9"/>
  <c r="AK102" i="9"/>
  <c r="BE15" i="9"/>
  <c r="V14" i="9"/>
  <c r="AA104" i="9"/>
  <c r="AK104" i="9"/>
  <c r="AA103" i="9"/>
  <c r="V103" i="9"/>
  <c r="L103" i="9"/>
  <c r="AU15" i="9"/>
  <c r="V104" i="9"/>
  <c r="AU13" i="9"/>
  <c r="AP13" i="9"/>
  <c r="AP105" i="9"/>
  <c r="AP102" i="9" s="1"/>
  <c r="BO104" i="9"/>
  <c r="AF103" i="9"/>
  <c r="AA15" i="9"/>
  <c r="AP14" i="9"/>
  <c r="AK12" i="9"/>
  <c r="AF14" i="9"/>
  <c r="BJ17" i="9"/>
  <c r="BO15" i="9"/>
  <c r="AK15" i="9"/>
  <c r="AA14" i="9"/>
  <c r="L105" i="9"/>
  <c r="BJ105" i="9"/>
  <c r="AU14" i="9"/>
  <c r="L12" i="9"/>
  <c r="Q103" i="9"/>
  <c r="BO17" i="9"/>
  <c r="AU103" i="9"/>
  <c r="BE13" i="9"/>
  <c r="BO105" i="9"/>
  <c r="AF104" i="9"/>
  <c r="AZ14" i="9"/>
  <c r="BJ15" i="9"/>
  <c r="AA105" i="9"/>
  <c r="AZ105" i="9"/>
  <c r="BJ104" i="9"/>
  <c r="AF17" i="9"/>
  <c r="BT12" i="9"/>
  <c r="V15" i="9"/>
  <c r="AZ13" i="9"/>
  <c r="AF105" i="9"/>
  <c r="Q14" i="9"/>
  <c r="AF15" i="9"/>
  <c r="BE104" i="9"/>
  <c r="V13" i="9"/>
  <c r="BO16" i="7"/>
  <c r="BE16" i="7"/>
  <c r="L15" i="7"/>
  <c r="AP16" i="7"/>
  <c r="BJ16" i="7"/>
  <c r="BT65" i="7"/>
  <c r="AK16" i="7"/>
  <c r="BT13" i="7"/>
  <c r="AA16" i="7"/>
  <c r="BT14" i="7"/>
  <c r="V15" i="7"/>
  <c r="AF16" i="7"/>
  <c r="BE14" i="7"/>
  <c r="BT122" i="7"/>
  <c r="BJ14" i="7"/>
  <c r="AZ16" i="7"/>
  <c r="Q12" i="7"/>
  <c r="BO15" i="7"/>
  <c r="V16" i="7"/>
  <c r="AU15" i="7"/>
  <c r="AP15" i="7"/>
  <c r="AK15" i="7"/>
  <c r="L12" i="7"/>
  <c r="BT216" i="6"/>
  <c r="AZ14" i="6"/>
  <c r="V14" i="6"/>
  <c r="AF15" i="6"/>
  <c r="Q16" i="6"/>
  <c r="Q284" i="6"/>
  <c r="L14" i="6"/>
  <c r="AA283" i="6"/>
  <c r="BJ15" i="6"/>
  <c r="AZ284" i="6"/>
  <c r="AZ16" i="6"/>
  <c r="AP14" i="6"/>
  <c r="BT247" i="6"/>
  <c r="BT153" i="6"/>
  <c r="L284" i="6"/>
  <c r="L16" i="6"/>
  <c r="AA14" i="6"/>
  <c r="BT51" i="6"/>
  <c r="BT163" i="6"/>
  <c r="BT120" i="6"/>
  <c r="BE18" i="6"/>
  <c r="Q283" i="6"/>
  <c r="V284" i="6"/>
  <c r="V16" i="6"/>
  <c r="BT242" i="6"/>
  <c r="BT313" i="6"/>
  <c r="AK283" i="6"/>
  <c r="BT178" i="6"/>
  <c r="BJ18" i="6"/>
  <c r="V18" i="6"/>
  <c r="BT168" i="6"/>
  <c r="G215" i="6"/>
  <c r="BT62" i="6"/>
  <c r="G13" i="6"/>
  <c r="BT45" i="6"/>
  <c r="BT268" i="6"/>
  <c r="AP284" i="6"/>
  <c r="AP16" i="6"/>
  <c r="BT39" i="6"/>
  <c r="BT158" i="6"/>
  <c r="AZ18" i="6"/>
  <c r="AK14" i="6"/>
  <c r="AF18" i="6"/>
  <c r="BO13" i="6"/>
  <c r="AP13" i="6"/>
  <c r="BT173" i="6"/>
  <c r="G283" i="6"/>
  <c r="L18" i="6"/>
  <c r="BE284" i="6"/>
  <c r="BE16" i="6"/>
  <c r="AK18" i="6"/>
  <c r="BT33" i="6"/>
  <c r="BT226" i="6"/>
  <c r="BJ215" i="6"/>
  <c r="BE14" i="6"/>
  <c r="BO283" i="6"/>
  <c r="AU15" i="6"/>
  <c r="BT143" i="6"/>
  <c r="AA13" i="6"/>
  <c r="BT73" i="6"/>
  <c r="BO14" i="6"/>
  <c r="BT57" i="6"/>
  <c r="BT19" i="6"/>
  <c r="Q13" i="6"/>
  <c r="R23" i="5"/>
  <c r="R93" i="5" s="1"/>
  <c r="AQ106" i="5"/>
  <c r="AQ23" i="5"/>
  <c r="AB101" i="5"/>
  <c r="AB23" i="5"/>
  <c r="BU84" i="5"/>
  <c r="BU13" i="5"/>
  <c r="AG83" i="5"/>
  <c r="AG77" i="5"/>
  <c r="BP94" i="5"/>
  <c r="BP23" i="5"/>
  <c r="AL94" i="5"/>
  <c r="AL23" i="5"/>
  <c r="DK13" i="5"/>
  <c r="BK94" i="5"/>
  <c r="BK23" i="5"/>
  <c r="BK93" i="5" s="1"/>
  <c r="AV83" i="5"/>
  <c r="BK83" i="5"/>
  <c r="AV106" i="5"/>
  <c r="AV23" i="5"/>
  <c r="AV93" i="5" s="1"/>
  <c r="BA77" i="5"/>
  <c r="BA83" i="5"/>
  <c r="R83" i="5"/>
  <c r="M106" i="5"/>
  <c r="M23" i="5"/>
  <c r="DK45" i="5"/>
  <c r="DK23" i="5"/>
  <c r="DK24" i="5"/>
  <c r="BU106" i="5"/>
  <c r="BU23" i="5"/>
  <c r="BU93" i="5" s="1"/>
  <c r="W77" i="5"/>
  <c r="W83" i="5"/>
  <c r="BF101" i="5"/>
  <c r="BF23" i="5"/>
  <c r="P135" i="2"/>
  <c r="P141" i="2" s="1"/>
  <c r="U75" i="2"/>
  <c r="U77" i="2" s="1"/>
  <c r="T135" i="2"/>
  <c r="T141" i="2" s="1"/>
  <c r="J135" i="2"/>
  <c r="J141" i="2" s="1"/>
  <c r="R118" i="2"/>
  <c r="R117" i="2" s="1"/>
  <c r="R114" i="2"/>
  <c r="R116" i="2" s="1"/>
  <c r="L135" i="2"/>
  <c r="L141" i="2" s="1"/>
  <c r="I80" i="2"/>
  <c r="U96" i="2"/>
  <c r="U80" i="2" s="1"/>
  <c r="U114" i="2" s="1"/>
  <c r="N135" i="2"/>
  <c r="N141" i="2" s="1"/>
  <c r="H116" i="2"/>
  <c r="S114" i="2"/>
  <c r="S116" i="2" s="1"/>
  <c r="S118" i="2"/>
  <c r="S117" i="2" s="1"/>
  <c r="M135" i="2"/>
  <c r="M141" i="2" s="1"/>
  <c r="W40" i="8" l="1"/>
  <c r="W81" i="8" s="1"/>
  <c r="DK77" i="5"/>
  <c r="CT77" i="5"/>
  <c r="AG93" i="5"/>
  <c r="AU12" i="7"/>
  <c r="AF12" i="7"/>
  <c r="AZ12" i="7"/>
  <c r="J84" i="10"/>
  <c r="N88" i="10"/>
  <c r="I88" i="10"/>
  <c r="Q88" i="10"/>
  <c r="H84" i="10"/>
  <c r="K88" i="10"/>
  <c r="T14" i="10"/>
  <c r="T56" i="10"/>
  <c r="O88" i="10"/>
  <c r="P84" i="10"/>
  <c r="M84" i="10"/>
  <c r="L88" i="10"/>
  <c r="R88" i="10"/>
  <c r="S84" i="10"/>
  <c r="T35" i="10"/>
  <c r="BU53" i="8"/>
  <c r="BU40" i="8"/>
  <c r="BU81" i="8" s="1"/>
  <c r="AQ40" i="8"/>
  <c r="AQ81" i="8" s="1"/>
  <c r="AQ53" i="8"/>
  <c r="AL53" i="8"/>
  <c r="AL40" i="8"/>
  <c r="AL81" i="8" s="1"/>
  <c r="BP53" i="8"/>
  <c r="BP40" i="8"/>
  <c r="BP81" i="8" s="1"/>
  <c r="V12" i="9"/>
  <c r="BE12" i="9"/>
  <c r="AU12" i="9"/>
  <c r="L102" i="9"/>
  <c r="AA102" i="9"/>
  <c r="Q12" i="9"/>
  <c r="Q102" i="9"/>
  <c r="AF102" i="9"/>
  <c r="AU102" i="9"/>
  <c r="AZ12" i="9"/>
  <c r="BO102" i="9"/>
  <c r="V102" i="9"/>
  <c r="AF13" i="9"/>
  <c r="BO13" i="9"/>
  <c r="AA12" i="9"/>
  <c r="AP12" i="9"/>
  <c r="AZ102" i="9"/>
  <c r="BJ13" i="9"/>
  <c r="BJ102" i="9"/>
  <c r="BE102" i="9"/>
  <c r="AP12" i="7"/>
  <c r="AA12" i="7"/>
  <c r="BE12" i="7"/>
  <c r="BJ12" i="7"/>
  <c r="BT16" i="7"/>
  <c r="V12" i="7"/>
  <c r="BO12" i="7"/>
  <c r="BT15" i="7"/>
  <c r="BT12" i="7" s="1"/>
  <c r="AK12" i="7"/>
  <c r="BT215" i="6"/>
  <c r="AZ283" i="6"/>
  <c r="AA15" i="6"/>
  <c r="AU12" i="6"/>
  <c r="L13" i="6"/>
  <c r="G15" i="6"/>
  <c r="AF13" i="6"/>
  <c r="AZ13" i="6"/>
  <c r="BE283" i="6"/>
  <c r="BJ13" i="6"/>
  <c r="AK13" i="6"/>
  <c r="BO15" i="6"/>
  <c r="AP283" i="6"/>
  <c r="BT18" i="6"/>
  <c r="BJ14" i="6"/>
  <c r="G14" i="6"/>
  <c r="Q15" i="6"/>
  <c r="Q12" i="6"/>
  <c r="V13" i="6"/>
  <c r="AK15" i="6"/>
  <c r="V283" i="6"/>
  <c r="BT14" i="6"/>
  <c r="BT284" i="6"/>
  <c r="BE13" i="6"/>
  <c r="L283" i="6"/>
  <c r="BW83" i="5"/>
  <c r="BW82" i="5" s="1"/>
  <c r="BW81" i="5" s="1"/>
  <c r="BW147" i="5" s="1"/>
  <c r="R77" i="5"/>
  <c r="AV77" i="5"/>
  <c r="M93" i="5"/>
  <c r="M77" i="5"/>
  <c r="BP93" i="5"/>
  <c r="BP77" i="5"/>
  <c r="AB93" i="5"/>
  <c r="AB77" i="5"/>
  <c r="BF93" i="5"/>
  <c r="BF77" i="5"/>
  <c r="BK77" i="5"/>
  <c r="AQ93" i="5"/>
  <c r="AQ77" i="5"/>
  <c r="AL93" i="5"/>
  <c r="AL77" i="5"/>
  <c r="BU83" i="5"/>
  <c r="BU77" i="5"/>
  <c r="S135" i="2"/>
  <c r="S141" i="2" s="1"/>
  <c r="R135" i="2"/>
  <c r="R141" i="2" s="1"/>
  <c r="U118" i="2"/>
  <c r="U117" i="2" s="1"/>
  <c r="U116" i="2"/>
  <c r="I114" i="2"/>
  <c r="I116" i="2" s="1"/>
  <c r="I118" i="2"/>
  <c r="I117" i="2" s="1"/>
  <c r="AA12" i="6" l="1"/>
  <c r="S80" i="10"/>
  <c r="P80" i="10"/>
  <c r="N84" i="10"/>
  <c r="Q84" i="10"/>
  <c r="H80" i="10"/>
  <c r="J80" i="10"/>
  <c r="R84" i="10"/>
  <c r="I84" i="10"/>
  <c r="T30" i="10"/>
  <c r="M80" i="10"/>
  <c r="L84" i="10"/>
  <c r="O84" i="10"/>
  <c r="K84" i="10"/>
  <c r="AF12" i="9"/>
  <c r="BJ12" i="9"/>
  <c r="BO12" i="9"/>
  <c r="AZ15" i="6"/>
  <c r="AZ12" i="6" s="1"/>
  <c r="V15" i="6"/>
  <c r="AK12" i="6"/>
  <c r="L15" i="6"/>
  <c r="AP15" i="6"/>
  <c r="BJ12" i="6"/>
  <c r="BE15" i="6"/>
  <c r="G12" i="6"/>
  <c r="BO12" i="6"/>
  <c r="BT283" i="6"/>
  <c r="BT13" i="6"/>
  <c r="AF12" i="6"/>
  <c r="I135" i="2"/>
  <c r="I141" i="2" s="1"/>
  <c r="U135" i="2"/>
  <c r="U141" i="2" s="1"/>
  <c r="V12" i="6" l="1"/>
  <c r="K80" i="10"/>
  <c r="I80" i="10"/>
  <c r="H30" i="10"/>
  <c r="P30" i="10"/>
  <c r="M30" i="10"/>
  <c r="R80" i="10"/>
  <c r="O80" i="10"/>
  <c r="Q80" i="10"/>
  <c r="S30" i="10"/>
  <c r="J30" i="10"/>
  <c r="L80" i="10"/>
  <c r="N80" i="10"/>
  <c r="BE12" i="6"/>
  <c r="AP12" i="6"/>
  <c r="BT15" i="6"/>
  <c r="L12" i="6"/>
  <c r="R30" i="10" l="1"/>
  <c r="Q30" i="10"/>
  <c r="I30" i="10"/>
  <c r="N30" i="10"/>
  <c r="O30" i="10"/>
  <c r="K30" i="10"/>
  <c r="L30" i="10"/>
  <c r="BT12" i="6"/>
  <c r="S47" i="1" l="1"/>
  <c r="P47" i="1"/>
  <c r="O47" i="1"/>
  <c r="N47" i="1"/>
  <c r="M47" i="1"/>
  <c r="L47" i="1"/>
  <c r="K47" i="1"/>
  <c r="J47" i="1"/>
  <c r="I47" i="1"/>
  <c r="H47" i="1"/>
  <c r="G47" i="1"/>
  <c r="S45" i="1"/>
  <c r="R45" i="1"/>
  <c r="Q45" i="1"/>
  <c r="P45" i="1"/>
  <c r="O45" i="1"/>
  <c r="N45" i="1"/>
  <c r="M45" i="1"/>
  <c r="L45" i="1"/>
  <c r="K45" i="1"/>
  <c r="J45" i="1"/>
  <c r="I45" i="1"/>
  <c r="H45" i="1"/>
  <c r="G45" i="1"/>
  <c r="S43" i="1"/>
  <c r="R43" i="1"/>
  <c r="Q43" i="1"/>
  <c r="P43" i="1"/>
  <c r="O43" i="1"/>
  <c r="N43" i="1"/>
  <c r="M43" i="1"/>
  <c r="L43" i="1"/>
  <c r="K43" i="1"/>
  <c r="J43" i="1"/>
  <c r="I43" i="1"/>
  <c r="H43" i="1"/>
  <c r="G43" i="1"/>
  <c r="S41" i="1"/>
  <c r="R41" i="1"/>
  <c r="Q41" i="1"/>
  <c r="P41" i="1"/>
  <c r="O41" i="1"/>
  <c r="N41" i="1"/>
  <c r="M41" i="1"/>
  <c r="L41" i="1"/>
  <c r="K41" i="1"/>
  <c r="J41" i="1"/>
  <c r="I41" i="1"/>
  <c r="H41" i="1"/>
  <c r="G41" i="1"/>
  <c r="G34" i="1"/>
  <c r="S32" i="1"/>
  <c r="R32" i="1"/>
  <c r="Q32" i="1"/>
  <c r="P32" i="1"/>
  <c r="O32" i="1"/>
  <c r="N32" i="1"/>
  <c r="M32" i="1"/>
  <c r="L32" i="1"/>
  <c r="K32" i="1"/>
  <c r="J32" i="1"/>
  <c r="I32" i="1"/>
  <c r="H32" i="1"/>
  <c r="G32" i="1"/>
  <c r="S31" i="1"/>
  <c r="R31" i="1"/>
  <c r="Q31" i="1"/>
  <c r="P31" i="1"/>
  <c r="O31" i="1"/>
  <c r="N31" i="1"/>
  <c r="M31" i="1"/>
  <c r="L31" i="1"/>
  <c r="K31" i="1"/>
  <c r="J31" i="1"/>
  <c r="I31" i="1"/>
  <c r="H31" i="1"/>
  <c r="G31" i="1"/>
  <c r="T29" i="1"/>
  <c r="D29" i="1"/>
  <c r="T28" i="1"/>
  <c r="D28" i="1"/>
  <c r="P27" i="1"/>
  <c r="P26" i="1" s="1"/>
  <c r="M27" i="1"/>
  <c r="T27" i="1" s="1"/>
  <c r="T26" i="1" s="1"/>
  <c r="S26" i="1"/>
  <c r="R26" i="1"/>
  <c r="Q26" i="1"/>
  <c r="O26" i="1"/>
  <c r="N26" i="1"/>
  <c r="R25" i="1"/>
  <c r="T25" i="1" s="1"/>
  <c r="M24" i="1"/>
  <c r="T24" i="1" s="1"/>
  <c r="G24" i="1"/>
  <c r="D24" i="1"/>
  <c r="R21" i="1"/>
  <c r="M22" i="1"/>
  <c r="M21" i="1" s="1"/>
  <c r="G22" i="1"/>
  <c r="D22" i="1"/>
  <c r="S21" i="1"/>
  <c r="Q21" i="1"/>
  <c r="P21" i="1"/>
  <c r="O21" i="1"/>
  <c r="N21" i="1"/>
  <c r="L21" i="1"/>
  <c r="K21" i="1"/>
  <c r="J21" i="1"/>
  <c r="I21" i="1"/>
  <c r="H21" i="1"/>
  <c r="D20" i="1"/>
  <c r="D19" i="1"/>
  <c r="S18" i="1"/>
  <c r="R18" i="1"/>
  <c r="P18" i="1"/>
  <c r="O18" i="1"/>
  <c r="N18" i="1"/>
  <c r="M18" i="1"/>
  <c r="L18" i="1"/>
  <c r="K18" i="1"/>
  <c r="J18" i="1"/>
  <c r="I18" i="1"/>
  <c r="H18" i="1"/>
  <c r="G18" i="1"/>
  <c r="S17" i="1"/>
  <c r="R17" i="1"/>
  <c r="Q17" i="1"/>
  <c r="P17" i="1"/>
  <c r="O17" i="1"/>
  <c r="N17" i="1"/>
  <c r="M17" i="1"/>
  <c r="L17" i="1"/>
  <c r="K17" i="1"/>
  <c r="J17" i="1"/>
  <c r="I17" i="1"/>
  <c r="H17" i="1"/>
  <c r="G17" i="1"/>
  <c r="S16" i="1"/>
  <c r="R16" i="1"/>
  <c r="Q16" i="1"/>
  <c r="P16" i="1"/>
  <c r="O16" i="1"/>
  <c r="N16" i="1"/>
  <c r="M16" i="1"/>
  <c r="L16" i="1"/>
  <c r="K16" i="1"/>
  <c r="J16" i="1"/>
  <c r="I16" i="1"/>
  <c r="H16" i="1"/>
  <c r="G16" i="1"/>
  <c r="U15" i="1"/>
  <c r="S13" i="1"/>
  <c r="R13" i="1"/>
  <c r="Q13" i="1"/>
  <c r="P13" i="1"/>
  <c r="O13" i="1"/>
  <c r="N13" i="1"/>
  <c r="M13" i="1"/>
  <c r="L13" i="1"/>
  <c r="K13" i="1"/>
  <c r="J13" i="1"/>
  <c r="I13" i="1"/>
  <c r="H13" i="1"/>
  <c r="G13" i="1"/>
  <c r="S9" i="1"/>
  <c r="P9" i="1"/>
  <c r="O9" i="1"/>
  <c r="N9" i="1"/>
  <c r="M9" i="1"/>
  <c r="L9" i="1"/>
  <c r="K9" i="1"/>
  <c r="J9" i="1"/>
  <c r="I9" i="1"/>
  <c r="H9" i="1"/>
  <c r="G9" i="1"/>
  <c r="I49" i="1" l="1"/>
  <c r="T43" i="1"/>
  <c r="N15" i="1"/>
  <c r="N11" i="1" s="1"/>
  <c r="N36" i="1" s="1"/>
  <c r="S15" i="1"/>
  <c r="S11" i="1" s="1"/>
  <c r="S36" i="1" s="1"/>
  <c r="J49" i="1"/>
  <c r="T16" i="1"/>
  <c r="O49" i="1"/>
  <c r="G21" i="1"/>
  <c r="J15" i="1"/>
  <c r="J11" i="1" s="1"/>
  <c r="J36" i="1" s="1"/>
  <c r="P49" i="1"/>
  <c r="P54" i="1" s="1"/>
  <c r="T45" i="1"/>
  <c r="L15" i="1"/>
  <c r="L11" i="1" s="1"/>
  <c r="L36" i="1" s="1"/>
  <c r="P15" i="1"/>
  <c r="P11" i="1" s="1"/>
  <c r="P36" i="1" s="1"/>
  <c r="R15" i="1"/>
  <c r="R11" i="1" s="1"/>
  <c r="M26" i="1"/>
  <c r="M15" i="1" s="1"/>
  <c r="M11" i="1" s="1"/>
  <c r="M36" i="1" s="1"/>
  <c r="T41" i="1"/>
  <c r="N49" i="1"/>
  <c r="G49" i="1"/>
  <c r="M49" i="1"/>
  <c r="S49" i="1"/>
  <c r="I15" i="1"/>
  <c r="I11" i="1" s="1"/>
  <c r="I36" i="1" s="1"/>
  <c r="I54" i="1" s="1"/>
  <c r="T31" i="1"/>
  <c r="T17" i="1"/>
  <c r="T18" i="1"/>
  <c r="T13" i="1"/>
  <c r="T32" i="1"/>
  <c r="L49" i="1"/>
  <c r="K49" i="1"/>
  <c r="J54" i="1"/>
  <c r="K15" i="1"/>
  <c r="K11" i="1" s="1"/>
  <c r="K36" i="1" s="1"/>
  <c r="K54" i="1" s="1"/>
  <c r="Q15" i="1"/>
  <c r="Q11" i="1" s="1"/>
  <c r="H49" i="1"/>
  <c r="H15" i="1"/>
  <c r="H11" i="1" s="1"/>
  <c r="H36" i="1" s="1"/>
  <c r="T22" i="1"/>
  <c r="T21" i="1" s="1"/>
  <c r="G15" i="1"/>
  <c r="G11" i="1" s="1"/>
  <c r="G36" i="1" s="1"/>
  <c r="O15" i="1"/>
  <c r="O11" i="1" s="1"/>
  <c r="O36" i="1" s="1"/>
  <c r="O54" i="1" l="1"/>
  <c r="M54" i="1"/>
  <c r="N54" i="1"/>
  <c r="G54" i="1"/>
  <c r="T15" i="1"/>
  <c r="T11" i="1" s="1"/>
  <c r="S54" i="1"/>
  <c r="L54" i="1"/>
  <c r="H54" i="1"/>
  <c r="Q9" i="1" l="1"/>
  <c r="R9" i="1"/>
  <c r="R36" i="1" s="1"/>
  <c r="T9" i="1" l="1"/>
  <c r="T36" i="1" s="1"/>
  <c r="Q36" i="1"/>
  <c r="Q47" i="1" l="1"/>
  <c r="R47" i="1"/>
  <c r="R49" i="1" s="1"/>
  <c r="R54" i="1" s="1"/>
  <c r="T47" i="1" l="1"/>
  <c r="T49" i="1" s="1"/>
  <c r="T54" i="1" s="1"/>
  <c r="Q49" i="1"/>
  <c r="Q54" i="1" s="1"/>
</calcChain>
</file>

<file path=xl/sharedStrings.xml><?xml version="1.0" encoding="utf-8"?>
<sst xmlns="http://schemas.openxmlformats.org/spreadsheetml/2006/main" count="1548" uniqueCount="633">
  <si>
    <t>The statement of actual revenue, expenditure and borrowings with regard to the National Revenue Fund as at the end of March 2020/2021 fiscal year is hereby published in terms of section 32 (1) of the Public Finance Management Act, 1999.</t>
  </si>
  <si>
    <t>Detailed information is available on the website of the National Treasury at www.treasury.gov.za click the Communications &amp; Media link - Press Releases - Monthly Press Releases</t>
  </si>
  <si>
    <t>Summary table of national revenue, expenditure and borrowing for the month ended 31 March 2021</t>
  </si>
  <si>
    <t>2020/21</t>
  </si>
  <si>
    <t>Revised</t>
  </si>
  <si>
    <t>April</t>
  </si>
  <si>
    <t>May</t>
  </si>
  <si>
    <t>June</t>
  </si>
  <si>
    <t>July</t>
  </si>
  <si>
    <t>August</t>
  </si>
  <si>
    <t>September</t>
  </si>
  <si>
    <t>October</t>
  </si>
  <si>
    <t>November</t>
  </si>
  <si>
    <t>December</t>
  </si>
  <si>
    <t>January</t>
  </si>
  <si>
    <t>February</t>
  </si>
  <si>
    <t>March</t>
  </si>
  <si>
    <t>Year to date</t>
  </si>
  <si>
    <t>R thousand</t>
  </si>
  <si>
    <t>Table</t>
  </si>
  <si>
    <t>estimate</t>
  </si>
  <si>
    <t>Revenue</t>
  </si>
  <si>
    <t xml:space="preserve">Expenditure </t>
  </si>
  <si>
    <t>Appropriation by vote</t>
  </si>
  <si>
    <t>Direct charges against the NRF</t>
  </si>
  <si>
    <t>Debt-service costs</t>
  </si>
  <si>
    <t>Provincial equitable share</t>
  </si>
  <si>
    <t>General fuel levy sharing with metropolitan municipalities</t>
  </si>
  <si>
    <t>Payments in terms of Section 70 of the PFMA</t>
  </si>
  <si>
    <t>South African Airways</t>
  </si>
  <si>
    <t xml:space="preserve">Payments in terms of Section 6(1)(b) of the Appropriation act3 </t>
  </si>
  <si>
    <t>SABC</t>
  </si>
  <si>
    <t>Skill Levy and SETAs</t>
  </si>
  <si>
    <t>Other costs</t>
  </si>
  <si>
    <t>National government projected underspending</t>
  </si>
  <si>
    <t>Main budget balance</t>
  </si>
  <si>
    <t>Financing of the net borrowing requirement</t>
  </si>
  <si>
    <t>Domestic short-term loans (net)</t>
  </si>
  <si>
    <t>Domestic long-term loans (net)</t>
  </si>
  <si>
    <t>Foreign loans (net)</t>
  </si>
  <si>
    <t>Change in cash and other balances1</t>
  </si>
  <si>
    <t>Total financing (net)</t>
  </si>
  <si>
    <t>1) A negative value indicates an increase in cash and other balances. A positive value indicates that cash is used to finance part of the borrowing requirement.</t>
  </si>
  <si>
    <t>3) Payment has been allocated to Appropriation by vote.</t>
  </si>
  <si>
    <t>COMPILED BY: Phindile Dhlame</t>
  </si>
  <si>
    <t xml:space="preserve">REVIEWED: Suzan Molokwane </t>
  </si>
  <si>
    <t>DATE:</t>
  </si>
  <si>
    <t>Table 1 Revenue*</t>
  </si>
  <si>
    <t xml:space="preserve">Taxes on income and profits </t>
  </si>
  <si>
    <t>Personal income tax</t>
  </si>
  <si>
    <t>Provisional tax, assessment payments and penalties</t>
  </si>
  <si>
    <t>Employees tax</t>
  </si>
  <si>
    <t>ETI credit - refunds granted against PAYE payment</t>
  </si>
  <si>
    <t>ETI credit - refunds</t>
  </si>
  <si>
    <t>PIT refunds</t>
  </si>
  <si>
    <t>Tax on corporate income</t>
  </si>
  <si>
    <t>Corporate income tax</t>
  </si>
  <si>
    <t>Secondary tax on companies</t>
  </si>
  <si>
    <t>Withholding tax on dividends</t>
  </si>
  <si>
    <t>Withholding tax on Interest</t>
  </si>
  <si>
    <t>Other</t>
  </si>
  <si>
    <t>Interest on overdue income tax</t>
  </si>
  <si>
    <t>Small business tax amnesty</t>
  </si>
  <si>
    <t>Taxes on payroll and workforce</t>
  </si>
  <si>
    <t xml:space="preserve">Skills development levy  </t>
  </si>
  <si>
    <t>Taxes on property</t>
  </si>
  <si>
    <t>Estate, inheritance and gift taxes</t>
  </si>
  <si>
    <t>Donations tax</t>
  </si>
  <si>
    <t xml:space="preserve">Estate duty </t>
  </si>
  <si>
    <t>Taxes on financial and capital transactions</t>
  </si>
  <si>
    <t>Securities transfer tax</t>
  </si>
  <si>
    <t>Transfer duties</t>
  </si>
  <si>
    <t>Taxes on goods and services</t>
  </si>
  <si>
    <t xml:space="preserve">Value-added tax </t>
  </si>
  <si>
    <t>Domestic VAT</t>
  </si>
  <si>
    <t>Import VAT</t>
  </si>
  <si>
    <t>Refunds</t>
  </si>
  <si>
    <t>Turnover tax for small businesses</t>
  </si>
  <si>
    <t>Specific excise duties</t>
  </si>
  <si>
    <t>Beer</t>
  </si>
  <si>
    <t>Sorghum beer and sorghum flour</t>
  </si>
  <si>
    <t>Wine and other fermented beverages</t>
  </si>
  <si>
    <t>Spirits</t>
  </si>
  <si>
    <t>Cigarettes and cigarette tobacco</t>
  </si>
  <si>
    <t>Pipe tobacco and cigars</t>
  </si>
  <si>
    <t>Petroleum products</t>
  </si>
  <si>
    <t>1)</t>
  </si>
  <si>
    <t>Revenue from neighbouring countries</t>
  </si>
  <si>
    <t>2)</t>
  </si>
  <si>
    <t>Ad valorem excise duties</t>
  </si>
  <si>
    <t>Health promotion levy</t>
  </si>
  <si>
    <t>General fuel levy</t>
  </si>
  <si>
    <t>Of which:</t>
  </si>
  <si>
    <t xml:space="preserve">    Carbon fuel levy</t>
  </si>
  <si>
    <t xml:space="preserve">      CFL Domestic</t>
  </si>
  <si>
    <t xml:space="preserve">      CFL Imported</t>
  </si>
  <si>
    <t>Taxes on use of goods and on permission to use goods or perform activities</t>
  </si>
  <si>
    <t>Air departure tax</t>
  </si>
  <si>
    <t>Plastic bag levy</t>
  </si>
  <si>
    <t>Electricity levy</t>
  </si>
  <si>
    <t>Incandescent light bulb levy</t>
  </si>
  <si>
    <t>CO₂ tax - motor vehicle emissions</t>
  </si>
  <si>
    <t>Tyre levy</t>
  </si>
  <si>
    <t>International Oil Pollution Compensation Fund</t>
  </si>
  <si>
    <t>Carbon tax</t>
  </si>
  <si>
    <t>Universal Service Fund</t>
  </si>
  <si>
    <t>Taxes on international trade and transactions</t>
  </si>
  <si>
    <t>Import duties</t>
  </si>
  <si>
    <t>Customs duties</t>
  </si>
  <si>
    <t xml:space="preserve">Specific excise duties on imports </t>
  </si>
  <si>
    <t>Health promotion levy on imports</t>
  </si>
  <si>
    <t>Miscellaneous customs and excise receipts</t>
  </si>
  <si>
    <t>Diamond export duties</t>
  </si>
  <si>
    <t>Other taxes</t>
  </si>
  <si>
    <t>Stamp duties and fees</t>
  </si>
  <si>
    <t>State miscellaneous revenue</t>
  </si>
  <si>
    <t>3)</t>
  </si>
  <si>
    <t>Total tax revenue (gross)</t>
  </si>
  <si>
    <t>Less: SACU payments</t>
  </si>
  <si>
    <t>4)</t>
  </si>
  <si>
    <t>Total tax revenue (net of SACU payments)</t>
  </si>
  <si>
    <t>Departmental revenue</t>
  </si>
  <si>
    <t>Sales of goods and services other than capital assets</t>
  </si>
  <si>
    <t>Sales by market establishments</t>
  </si>
  <si>
    <t>Non-tax receipts</t>
  </si>
  <si>
    <t>Administrative fees</t>
  </si>
  <si>
    <t>Other sales</t>
  </si>
  <si>
    <t>Selling of scrap or waste and other used current goods</t>
  </si>
  <si>
    <t>Transfers received</t>
  </si>
  <si>
    <t>Fines penalties and forfeits</t>
  </si>
  <si>
    <t>Interest, dividends and rent on land</t>
  </si>
  <si>
    <t>Interest</t>
  </si>
  <si>
    <t>Dividends</t>
  </si>
  <si>
    <t>Rent on land</t>
  </si>
  <si>
    <t xml:space="preserve">  Of which:</t>
  </si>
  <si>
    <t>SEC 32/TB</t>
  </si>
  <si>
    <t>SARS AFS</t>
  </si>
  <si>
    <t xml:space="preserve"> Mineral and petroleum royalties</t>
  </si>
  <si>
    <t>Sales of capital assets</t>
  </si>
  <si>
    <t>Financial transactions in assets and liabilities</t>
  </si>
  <si>
    <t>Recoveries of accrued revenue</t>
  </si>
  <si>
    <t>Recovery of loans</t>
  </si>
  <si>
    <t>Accounts receivable</t>
  </si>
  <si>
    <t>Other receipts</t>
  </si>
  <si>
    <t>Forex gains</t>
  </si>
  <si>
    <t>Arrear wages income</t>
  </si>
  <si>
    <t>Cash surpluses</t>
  </si>
  <si>
    <t>Deposits on accommodation</t>
  </si>
  <si>
    <t>Deposits abroad</t>
  </si>
  <si>
    <t>Breach of contracts</t>
  </si>
  <si>
    <t>Recovery of payments made</t>
  </si>
  <si>
    <t>Recovery of previous years' expenditure</t>
  </si>
  <si>
    <t>Stale cheques</t>
  </si>
  <si>
    <t>Unallocated credits</t>
  </si>
  <si>
    <t>Unclaimed security deposits</t>
  </si>
  <si>
    <t>NRF receipts</t>
  </si>
  <si>
    <t>5)</t>
  </si>
  <si>
    <t>Total national government revenue</t>
  </si>
  <si>
    <t>Reconciliation to total net revenue and revenue collected on Table 4</t>
  </si>
  <si>
    <t>Nett Revenue for the year</t>
  </si>
  <si>
    <t>Transfer to NRF as per SARS AFS</t>
  </si>
  <si>
    <t>1 430 441 906</t>
  </si>
  <si>
    <t>Departmental revenue received but not yet paid to NRF</t>
  </si>
  <si>
    <t>Due to NRF</t>
  </si>
  <si>
    <t>Departmental revenue collected</t>
  </si>
  <si>
    <t>intransit prior year</t>
  </si>
  <si>
    <t>Departmental revenue received by the NRF</t>
  </si>
  <si>
    <t xml:space="preserve">intransit current year </t>
  </si>
  <si>
    <t>Other revenue received by the NRF</t>
  </si>
  <si>
    <t>6)</t>
  </si>
  <si>
    <t xml:space="preserve">  ICASA</t>
  </si>
  <si>
    <t>NRF AFS</t>
  </si>
  <si>
    <t xml:space="preserve">  Financial Intelligence Centre Act</t>
  </si>
  <si>
    <t xml:space="preserve">  SARB Discovery</t>
  </si>
  <si>
    <t xml:space="preserve">  SARB Deutsche Bank</t>
  </si>
  <si>
    <t xml:space="preserve">  SARB Brightrock life penalty</t>
  </si>
  <si>
    <t xml:space="preserve">  Proceeds of organised Crime Act</t>
  </si>
  <si>
    <t>other revenue</t>
  </si>
  <si>
    <t xml:space="preserve">  Asset Forfeiture Unit</t>
  </si>
  <si>
    <t xml:space="preserve">  DTI Various entities</t>
  </si>
  <si>
    <t>total revenue collected</t>
  </si>
  <si>
    <t xml:space="preserve">  Competition Commission</t>
  </si>
  <si>
    <t xml:space="preserve">  Refund Police</t>
  </si>
  <si>
    <t>nrf receipts</t>
  </si>
  <si>
    <t xml:space="preserve">  Refund Correctional Services</t>
  </si>
  <si>
    <t>cara payment</t>
  </si>
  <si>
    <t>Revenue collected on behalf of the Provincial Authorities</t>
  </si>
  <si>
    <t>Revenue collected on behalf of the RAF</t>
  </si>
  <si>
    <t>Revenue collected on behalf of the UIF</t>
  </si>
  <si>
    <t>Total net revenue</t>
  </si>
  <si>
    <t>Cash balance NRF</t>
  </si>
  <si>
    <t>Provincial revenue collected by SARS and transferred by NRF</t>
  </si>
  <si>
    <t>Direct transfer from NRF to the RAF</t>
  </si>
  <si>
    <t>Direct transfer from NRF to the UIF</t>
  </si>
  <si>
    <t>CARA added as part of cash revenue in Table 4</t>
  </si>
  <si>
    <t>Revenue collected according to Table 4</t>
  </si>
  <si>
    <t>1) Specific excise duties on petrol, distillate fuel, residual fuel and base oil.</t>
  </si>
  <si>
    <t>2) Excise duties collected by Botswana, Lesotho, Namibia and Eswatini.</t>
  </si>
  <si>
    <t>3) Revenue received by SARS in respect of taxation that could not be allocated to specific revenue types.</t>
  </si>
  <si>
    <t>4) Payments in terms of SACU agreements.</t>
  </si>
  <si>
    <t>*) Any negative amounts reflect refunds and reclassification of previous recorded amounts. Reclassification will be reflected on the database.</t>
  </si>
  <si>
    <t>Table 2 Expenditure by national vote*</t>
  </si>
  <si>
    <t xml:space="preserve">                                                                                                                                                                                                       </t>
  </si>
  <si>
    <t>Revised estimate</t>
  </si>
  <si>
    <t>Current</t>
  </si>
  <si>
    <t>Transfers and</t>
  </si>
  <si>
    <t>Payments for</t>
  </si>
  <si>
    <t xml:space="preserve">Payments for </t>
  </si>
  <si>
    <t>Total</t>
  </si>
  <si>
    <t xml:space="preserve">Payments  for </t>
  </si>
  <si>
    <t>payments</t>
  </si>
  <si>
    <t>subsidies</t>
  </si>
  <si>
    <t>capital assets</t>
  </si>
  <si>
    <t>financial assets</t>
  </si>
  <si>
    <t>Vulindlela</t>
  </si>
  <si>
    <t>difference</t>
  </si>
  <si>
    <t>The Presidency</t>
  </si>
  <si>
    <t>Parliament</t>
  </si>
  <si>
    <t xml:space="preserve">Cooperative Governance </t>
  </si>
  <si>
    <t>Government Communication and Information System</t>
  </si>
  <si>
    <t>Home Affairs</t>
  </si>
  <si>
    <t>International Relations and Cooperation</t>
  </si>
  <si>
    <t>National School of Government</t>
  </si>
  <si>
    <t xml:space="preserve">National Treasury                                               </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</si>
  <si>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</si>
  <si>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</si>
  <si>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</si>
  <si>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</si>
  <si>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</si>
  <si>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</si>
  <si>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</si>
  <si>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</si>
  <si>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</si>
  <si>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</si>
  <si>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</si>
  <si>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Women,Youth and persons with Disabilities</t>
  </si>
  <si>
    <t>Civilian secretariat for the Police Services</t>
  </si>
  <si>
    <t>Correctional Services</t>
  </si>
  <si>
    <t xml:space="preserve">Defence </t>
  </si>
  <si>
    <t>Independent Police Investigative Directorate</t>
  </si>
  <si>
    <t>Justice and Constitutional Development</t>
  </si>
  <si>
    <t>Military Veterans</t>
  </si>
  <si>
    <t xml:space="preserve">Office of the Chief Justice </t>
  </si>
  <si>
    <t>Police</t>
  </si>
  <si>
    <t>Agriculture, Land Reform and Rural Development</t>
  </si>
  <si>
    <t>Communications and Digital Technologies</t>
  </si>
  <si>
    <t>Employment and Labour</t>
  </si>
  <si>
    <t>Environment, Forestry and Fisheries</t>
  </si>
  <si>
    <t>Human Settlements</t>
  </si>
  <si>
    <t>Mineral Resources and Energy</t>
  </si>
  <si>
    <t>Science and Innovation</t>
  </si>
  <si>
    <t>Small Business Development</t>
  </si>
  <si>
    <t>Sports, Arts and Culture</t>
  </si>
  <si>
    <t>Tourism</t>
  </si>
  <si>
    <t>Trade, Industry and Competition</t>
  </si>
  <si>
    <t>Transport</t>
  </si>
  <si>
    <t>Water and Sanitation</t>
  </si>
  <si>
    <t>Total appropriation by vote</t>
  </si>
  <si>
    <t>Plus:</t>
  </si>
  <si>
    <t>President and Deputy President salaries (The Presidency)</t>
  </si>
  <si>
    <t>Members' remuneration (Parliament)</t>
  </si>
  <si>
    <t>Debt-service costs (National Treasury)</t>
  </si>
  <si>
    <t>Other cost</t>
  </si>
  <si>
    <t>Provincial equitable share (National Treasury)</t>
  </si>
  <si>
    <t>General fuel levy sharing with metropolitan municipalities (National Treasury)</t>
  </si>
  <si>
    <t>NRF payments (National Treasury)</t>
  </si>
  <si>
    <t>Auditor-General of South Africa</t>
  </si>
  <si>
    <t>Other payments</t>
  </si>
  <si>
    <t>Payments in terms of section 70 of the PFMA</t>
  </si>
  <si>
    <t xml:space="preserve">South African Express Airways </t>
  </si>
  <si>
    <t xml:space="preserve">South African  Airways </t>
  </si>
  <si>
    <t>Land and Agricultural Development Bank of SA</t>
  </si>
  <si>
    <t>Payments in terms of Section 6(1)(b) of the Appropriation act 2020</t>
  </si>
  <si>
    <t>Skills levy and sector education and training authorities (Higher Education and Training)</t>
  </si>
  <si>
    <t>Magistrates' salaries (Justice and Constitutional Development)</t>
  </si>
  <si>
    <t>Judges' salaries (Office of the Chief Justice and Judicial Administration)</t>
  </si>
  <si>
    <t>International Oil Pollution Compensation Fund (Transport)</t>
  </si>
  <si>
    <t>Total direct charges against the NRF</t>
  </si>
  <si>
    <t>Main budget expenditure</t>
  </si>
  <si>
    <t>1) Reflects monthly requested funds.</t>
  </si>
  <si>
    <t>2) In terms of Disaster Management Act as declared by the President, social grant payments for April 2020 were paid in March 2020.</t>
  </si>
  <si>
    <t>3) NRF payments (previously classified as extra ordinary payments), for more details see Table 5.</t>
  </si>
  <si>
    <t>4) The Minister of Finance approved these payments in terms of Section 70 of the PFMA. For SA Express Airways the payment was made by the Department of Public Enterprise and for Land Bank by the National Treasury.</t>
  </si>
  <si>
    <t>5) The payment has been allocated to the Department of Public Enterprise as per the the Second Adjustment Appropriation Act..</t>
  </si>
  <si>
    <t>*) Any negative amounts reflected against the votes indicate the reallocation of spending to the correct economic classification.</t>
  </si>
  <si>
    <t>2019/20</t>
  </si>
  <si>
    <t>Audited outcome</t>
  </si>
  <si>
    <t>Communications</t>
  </si>
  <si>
    <t>Cooperative Governance and Traditional Affairs</t>
  </si>
  <si>
    <t>Public Works</t>
  </si>
  <si>
    <t>Women</t>
  </si>
  <si>
    <t>Defence and Military Veterans</t>
  </si>
  <si>
    <t>Office of the Chief Justice and Judicial Administration</t>
  </si>
  <si>
    <t>Agriculture, Forestry and Fisheries</t>
  </si>
  <si>
    <t>Economic Development</t>
  </si>
  <si>
    <t>Energy</t>
  </si>
  <si>
    <t>Environmental Affairs</t>
  </si>
  <si>
    <t>Labour</t>
  </si>
  <si>
    <t>Mineral Resources</t>
  </si>
  <si>
    <t>Science and Technology</t>
  </si>
  <si>
    <t>Telecommunications and Postal Services</t>
  </si>
  <si>
    <t>Trade and Industry</t>
  </si>
  <si>
    <t>Arts and Culture</t>
  </si>
  <si>
    <t>Rural Development and Land Reform</t>
  </si>
  <si>
    <t>Sport and Recreation South Africa</t>
  </si>
  <si>
    <t>Eskom - payment in terms of Section 16(1) of the PFMA</t>
  </si>
  <si>
    <t>Payments in terms of Section 6(1)(b) of the Appropriation act 2019</t>
  </si>
  <si>
    <t xml:space="preserve">South African Airways </t>
  </si>
  <si>
    <t>South African Express Airways</t>
  </si>
  <si>
    <t xml:space="preserve">Denel </t>
  </si>
  <si>
    <t>Provisional allocation for contingencies not assigned to votes</t>
  </si>
  <si>
    <t>Infrastructure fund not assigned to votes</t>
  </si>
  <si>
    <t xml:space="preserve">Provisional allocation for Eskom restructuring </t>
  </si>
  <si>
    <t>Compensation of employess and other baseline adjustments</t>
  </si>
  <si>
    <t>2) NRF payments (previously classified as extra ordinary payments), for more details see Table 5.</t>
  </si>
  <si>
    <t>3) Payment has been allocated to Public Enterprise (Vote 9).</t>
  </si>
  <si>
    <t>3) The Minister of Finance approved South African Airways, South African Express Airways Denel and SABC payments in terms of Section 6(1)(b) of the Appropriation act 2019. These payments are made by Public Enterprise.</t>
  </si>
  <si>
    <t>6) NRF receipts (previously classified as extra ordinary receipts), for more details see Table 5.</t>
  </si>
  <si>
    <t>7) Other revenue received by the NRF that is not classified as Departmental Revenue.</t>
  </si>
  <si>
    <t>5) Departmental Revenu number have been adjusted for the month of January and February.</t>
  </si>
  <si>
    <t>7)</t>
  </si>
  <si>
    <t>Table 3  Summary table of borrowing</t>
  </si>
  <si>
    <t xml:space="preserve">  Treasury bills</t>
  </si>
  <si>
    <t>Shorter than 91 days</t>
  </si>
  <si>
    <t>91 days</t>
  </si>
  <si>
    <t>182 days</t>
  </si>
  <si>
    <t xml:space="preserve">                   -  </t>
  </si>
  <si>
    <t>273 days</t>
  </si>
  <si>
    <t>364 days</t>
  </si>
  <si>
    <t>Corporation for Public Deposits</t>
  </si>
  <si>
    <t xml:space="preserve">   Loans issued for financing (net)</t>
  </si>
  <si>
    <t xml:space="preserve">      Loans issued (gross)</t>
  </si>
  <si>
    <t>4.1</t>
  </si>
  <si>
    <t xml:space="preserve">      Discount</t>
  </si>
  <si>
    <t xml:space="preserve">      Scheduled redemptions</t>
  </si>
  <si>
    <t>4.2</t>
  </si>
  <si>
    <t xml:space="preserve">      Buy-backs (excluding book profit)</t>
  </si>
  <si>
    <t xml:space="preserve">   Loans issued for switches (net)</t>
  </si>
  <si>
    <t xml:space="preserve">     Loans issued (gross)</t>
  </si>
  <si>
    <t xml:space="preserve">     Discount</t>
  </si>
  <si>
    <t xml:space="preserve">     Loans switched (excluding book profit)</t>
  </si>
  <si>
    <t xml:space="preserve">   Loans issued for repo's (net)</t>
  </si>
  <si>
    <t xml:space="preserve">     Repo out</t>
  </si>
  <si>
    <t xml:space="preserve">     Repo in</t>
  </si>
  <si>
    <t xml:space="preserve">   Loans issued for extraordinary purposes (net)                                   </t>
  </si>
  <si>
    <t>Foreign long-term loans (net)</t>
  </si>
  <si>
    <t>4.3</t>
  </si>
  <si>
    <t xml:space="preserve">      Rand value at date of issue</t>
  </si>
  <si>
    <t xml:space="preserve">      Revaluation</t>
  </si>
  <si>
    <t xml:space="preserve">      Loans switched (excluding book profit)</t>
  </si>
  <si>
    <t xml:space="preserve">       Rand value at date of issue</t>
  </si>
  <si>
    <t xml:space="preserve">       Revaluation</t>
  </si>
  <si>
    <t xml:space="preserve">   Loans issued for buy-backs (net)</t>
  </si>
  <si>
    <t>Change in cash and other balances</t>
  </si>
  <si>
    <t>4.4</t>
  </si>
  <si>
    <t xml:space="preserve">    Change in cash balances</t>
  </si>
  <si>
    <t xml:space="preserve">    Outstanding transfers from the Exchequer to PMG Accounts</t>
  </si>
  <si>
    <t>Cash flow adjustment</t>
  </si>
  <si>
    <t xml:space="preserve">    Surrenders</t>
  </si>
  <si>
    <t xml:space="preserve">    Late requests</t>
  </si>
  <si>
    <t xml:space="preserve">    Reconciliation between actual revenue and actual expenditure against NRF flows</t>
  </si>
  <si>
    <t>Total borrowing</t>
  </si>
  <si>
    <t xml:space="preserve">Table 3.1 Issuance of domestic long-term loans </t>
  </si>
  <si>
    <t>Domestic long-term loans (gross)</t>
  </si>
  <si>
    <t xml:space="preserve">  Loans issued for financing</t>
  </si>
  <si>
    <t xml:space="preserve">  Loans issued for switches</t>
  </si>
  <si>
    <t xml:space="preserve">  Loans issued for repo's (Repo out)</t>
  </si>
  <si>
    <t xml:space="preserve">  Loans issued for extraordinary purposes</t>
  </si>
  <si>
    <t>Loans issued for financing (gross)</t>
  </si>
  <si>
    <t xml:space="preserve">      Cash value</t>
  </si>
  <si>
    <t xml:space="preserve">      Premium                                                          </t>
  </si>
  <si>
    <t xml:space="preserve">      Revaluation                                                      </t>
  </si>
  <si>
    <t xml:space="preserve">  Retail Bonds</t>
  </si>
  <si>
    <t xml:space="preserve">        Cash value</t>
  </si>
  <si>
    <t xml:space="preserve">  I2025 (2.00%  2025/01/31)                                                                          </t>
  </si>
  <si>
    <t xml:space="preserve">        Discount</t>
  </si>
  <si>
    <t xml:space="preserve">        Premium  </t>
  </si>
  <si>
    <t xml:space="preserve">        Revaluation</t>
  </si>
  <si>
    <t xml:space="preserve">  I2038 (2.25%  2038/01/31)                                                                          </t>
  </si>
  <si>
    <t xml:space="preserve">  I2046 (2.50%  2046/03/31)                                                                           </t>
  </si>
  <si>
    <t xml:space="preserve">  I2033 (1.875%  2033/02/28)                                                                        </t>
  </si>
  <si>
    <t xml:space="preserve">  I2050 (2.50%  2049-50-51/12/31)                                                               </t>
  </si>
  <si>
    <t xml:space="preserve">  R2035 (8.875%  2035/02/28)</t>
  </si>
  <si>
    <t xml:space="preserve">        Premium</t>
  </si>
  <si>
    <t xml:space="preserve">  R186 (10.50%  2025-26-27/12/21)</t>
  </si>
  <si>
    <t xml:space="preserve">  R189  (6.25%  2013/03/31)</t>
  </si>
  <si>
    <t xml:space="preserve">  I2029 (1.875%  2029/03/31)</t>
  </si>
  <si>
    <t xml:space="preserve">  R209  (6.25%  2036/03/31)</t>
  </si>
  <si>
    <t xml:space="preserve">  R197 (5.50%  2023/12/07)</t>
  </si>
  <si>
    <t xml:space="preserve">  R203 (8.25%  2017/09/15)</t>
  </si>
  <si>
    <t xml:space="preserve">  R204 (8.00%  2018/12/21)</t>
  </si>
  <si>
    <t xml:space="preserve">  R205  (6.88%  2012/03/31)</t>
  </si>
  <si>
    <t xml:space="preserve">  R206  (7.50%  2014/01/15)</t>
  </si>
  <si>
    <t xml:space="preserve">  R207 (7.25%  2020/01/15)</t>
  </si>
  <si>
    <t xml:space="preserve">  R208 (6.75%  2021/03/31)</t>
  </si>
  <si>
    <t xml:space="preserve">  R2040 (9.00%  2040/09/11)</t>
  </si>
  <si>
    <t xml:space="preserve">  R210 (2.60%  2028/03/31)                                                                          1)</t>
  </si>
  <si>
    <t xml:space="preserve">  R202 (3.45%  2033/12/07)</t>
  </si>
  <si>
    <t xml:space="preserve">  R212 (2.75%  2022/01/31)</t>
  </si>
  <si>
    <t xml:space="preserve">  R213 (7.00%  2031/02/28)</t>
  </si>
  <si>
    <t xml:space="preserve">  R214 (6.50%  2041/02/28)</t>
  </si>
  <si>
    <t xml:space="preserve">  R2023 (7.75%  2023/02/28)</t>
  </si>
  <si>
    <t xml:space="preserve">  R2030 (7.75%  2030/01/31)</t>
  </si>
  <si>
    <t xml:space="preserve">  R2032 (8.25%  2032/03/31)</t>
  </si>
  <si>
    <t xml:space="preserve">  R2037 (8.50%  2037/01/31)</t>
  </si>
  <si>
    <t xml:space="preserve">  R2044 (8.75%  2043-44-45/01/31)</t>
  </si>
  <si>
    <t xml:space="preserve">  R2048 (8.75%  2047-48-49/02/28)</t>
  </si>
  <si>
    <t>Table 3.1 Issuance of domestic long-term loans (continued)</t>
  </si>
  <si>
    <t xml:space="preserve">  Amortised interest on Zero Coupon Bonds (cash value)</t>
  </si>
  <si>
    <t xml:space="preserve">       Z006 (13.91%  2013/08/31)</t>
  </si>
  <si>
    <t xml:space="preserve">       Z009 (12.15%  2013/11/30)</t>
  </si>
  <si>
    <t xml:space="preserve">       Z014 (12.60%  2015/06/30)</t>
  </si>
  <si>
    <t xml:space="preserve">       Z018 (13.35%  2014/03/31)</t>
  </si>
  <si>
    <t xml:space="preserve">       Z019 (13.30%  2014/06/30)</t>
  </si>
  <si>
    <t xml:space="preserve">       Z020 (13.20%  2015/10/19)</t>
  </si>
  <si>
    <t xml:space="preserve">       Z021  (12.60%  2009/04/30)</t>
  </si>
  <si>
    <t xml:space="preserve">       Z025 (13.00%  2014/11/30)</t>
  </si>
  <si>
    <t xml:space="preserve">       Z071 (15.64%  2015/07/01)</t>
  </si>
  <si>
    <t xml:space="preserve">       Z083 (15.25%  2019/09/30)</t>
  </si>
  <si>
    <t xml:space="preserve">       Z089  (15.25%  2019/09/30)</t>
  </si>
  <si>
    <t xml:space="preserve">       Z109 (15.25%  2016/09/15)</t>
  </si>
  <si>
    <t xml:space="preserve">  Capitalised interest on Retail Bonds (cash value) </t>
  </si>
  <si>
    <t xml:space="preserve">       Corporate Retail Bond</t>
  </si>
  <si>
    <t xml:space="preserve">       RB01</t>
  </si>
  <si>
    <t xml:space="preserve">       RB02</t>
  </si>
  <si>
    <t xml:space="preserve">       RB03</t>
  </si>
  <si>
    <t xml:space="preserve">       RB04</t>
  </si>
  <si>
    <t xml:space="preserve">       RB05</t>
  </si>
  <si>
    <t xml:space="preserve">       RB06</t>
  </si>
  <si>
    <t xml:space="preserve">  R2044 (8.75%  2043-44-45/07/18)</t>
  </si>
  <si>
    <t xml:space="preserve">  R2030 (8.00%  2030/01/31)</t>
  </si>
  <si>
    <t xml:space="preserve">  R2032 (7.00%  2031/02/28)</t>
  </si>
  <si>
    <t xml:space="preserve">  R209 (6.25%  2036/03/31)</t>
  </si>
  <si>
    <t xml:space="preserve">  Margin call payable</t>
  </si>
  <si>
    <t xml:space="preserve">  R2044 (8.75%  2044-45-46/01/31)</t>
  </si>
  <si>
    <t xml:space="preserve">  R210 (2.60%  2028/03/31)</t>
  </si>
  <si>
    <t xml:space="preserve">  R2037  (8.50%  2037/01/31)</t>
  </si>
  <si>
    <t xml:space="preserve">  R2040 (9.00%  2040/01/31)</t>
  </si>
  <si>
    <t xml:space="preserve">  R204  (8.00%  2018/12/21)</t>
  </si>
  <si>
    <t xml:space="preserve">  R2030 (8.00%  2030/01/30)</t>
  </si>
  <si>
    <t xml:space="preserve">Table 3.2  Redemption of domestic long-term loans </t>
  </si>
  <si>
    <t>Redemption of domestic long-term loans</t>
  </si>
  <si>
    <t xml:space="preserve">  Scheduled </t>
  </si>
  <si>
    <t xml:space="preserve">  Due to switches</t>
  </si>
  <si>
    <t xml:space="preserve">  Due to repo's (Repo in)</t>
  </si>
  <si>
    <t xml:space="preserve">  Due to buy-backs</t>
  </si>
  <si>
    <t xml:space="preserve">Scheduled redemptions </t>
  </si>
  <si>
    <t xml:space="preserve">  R208 (6.75% 2021/03/31)</t>
  </si>
  <si>
    <t xml:space="preserve">  R158 (13.50% 2015/09/15)</t>
  </si>
  <si>
    <t xml:space="preserve">  R158P (13.50% 2015/09/15)</t>
  </si>
  <si>
    <t xml:space="preserve">  Z083 (15,25% 2019/09/30)</t>
  </si>
  <si>
    <t xml:space="preserve">  Bonus debenture</t>
  </si>
  <si>
    <t xml:space="preserve">  Former regional authorities' debt</t>
  </si>
  <si>
    <t xml:space="preserve">  Former SARB Namibian loan facility</t>
  </si>
  <si>
    <t>Redemptions due to switches</t>
  </si>
  <si>
    <t xml:space="preserve">        Book profit </t>
  </si>
  <si>
    <t xml:space="preserve">        Book loss </t>
  </si>
  <si>
    <t xml:space="preserve">  R157 (13.50%  2014-15-16/09/15)</t>
  </si>
  <si>
    <t xml:space="preserve">  R201 (8.75%  2014/12/21)</t>
  </si>
  <si>
    <t>Due to repo's (Repo in)</t>
  </si>
  <si>
    <t xml:space="preserve">   Due to buy-backs</t>
  </si>
  <si>
    <t xml:space="preserve">        Book profit</t>
  </si>
  <si>
    <t xml:space="preserve">        Book loss</t>
  </si>
  <si>
    <t xml:space="preserve">  R001  (4.50%  PERP)</t>
  </si>
  <si>
    <t xml:space="preserve">  R002  (5.00%  PERP)</t>
  </si>
  <si>
    <t xml:space="preserve">  TR31  (9.75%  PERP)</t>
  </si>
  <si>
    <t xml:space="preserve">  TR32  (10.00%  PERP)</t>
  </si>
  <si>
    <t xml:space="preserve">  TR30  (10.00%  PERP)</t>
  </si>
  <si>
    <t xml:space="preserve">  Z071  (0.00%  2015/07/01)</t>
  </si>
  <si>
    <t>Table 3.3  Issuance and redemption of foreign loans</t>
  </si>
  <si>
    <t xml:space="preserve"> Foreign loans issued (gross)</t>
  </si>
  <si>
    <t xml:space="preserve">        Loans issued for financing</t>
  </si>
  <si>
    <t xml:space="preserve">        Loans issued for switches</t>
  </si>
  <si>
    <t xml:space="preserve">        Loans issued for buy-backs</t>
  </si>
  <si>
    <t xml:space="preserve"> Loans issued for financing (gross)</t>
  </si>
  <si>
    <t xml:space="preserve">  TY2/101  4.85% US Dollar Notes due 2029/09/30</t>
  </si>
  <si>
    <t xml:space="preserve">  TY2/102  5.75% US Dollar Notes due 2049/09/30</t>
  </si>
  <si>
    <t xml:space="preserve">  TY2/94  4.875% US Dollar Notes due 2026/04/14</t>
  </si>
  <si>
    <t xml:space="preserve">  TY2/103  LIBOR plus 1.25% US Dollar Notes due 2050/07/20</t>
  </si>
  <si>
    <t xml:space="preserve">  TY2/105 SDR rate plus a % margin US Dollar Promissory Notes due 2025/07/29</t>
  </si>
  <si>
    <t xml:space="preserve">  TY2/97  4.85% US Dollar Notes due 2027/09/27</t>
  </si>
  <si>
    <t xml:space="preserve">  TY2/98  5.65% US Dollar Notes due 2047/09/27</t>
  </si>
  <si>
    <t xml:space="preserve">  TY2/104 3M JIBAR + lending margin + funding cost margin Notes due 2040/06/16</t>
  </si>
  <si>
    <t xml:space="preserve"> Loans issued for switches</t>
  </si>
  <si>
    <t xml:space="preserve">  TY2/95  4.30% US Dollar Notes due 2028/10/12</t>
  </si>
  <si>
    <t xml:space="preserve"> Loans issued for buy-backs</t>
  </si>
  <si>
    <t xml:space="preserve">  TY2-93  3.903% Sukuk note due 2020/09/24</t>
  </si>
  <si>
    <t xml:space="preserve">  TY2/92  3.750% Euro Notes due 2026/07/24</t>
  </si>
  <si>
    <t xml:space="preserve">  TY2/88 6.250% US Dollar Notes due 2041/03/08</t>
  </si>
  <si>
    <t xml:space="preserve">  TY2/89 4.665% US Dollar Notes due 2024/01/17</t>
  </si>
  <si>
    <t>Redemption of foreign long-term loans</t>
  </si>
  <si>
    <t xml:space="preserve">    Scheduled</t>
  </si>
  <si>
    <t xml:space="preserve">    Due to switches</t>
  </si>
  <si>
    <t xml:space="preserve">    Due to buy-backs</t>
  </si>
  <si>
    <t>Scheduled redemptions</t>
  </si>
  <si>
    <t xml:space="preserve">         Rand value at date of issue</t>
  </si>
  <si>
    <t xml:space="preserve">         Revaluation</t>
  </si>
  <si>
    <t xml:space="preserve">  TY2/64 2.50% Kwandebele Water Augmentation Project due 2021/05/20</t>
  </si>
  <si>
    <t xml:space="preserve">  TY2/86 6.875% RSA Notes due 2019/05/27</t>
  </si>
  <si>
    <t xml:space="preserve">  TY2/87 5.50% RSA Notes due 2020/03/09</t>
  </si>
  <si>
    <t xml:space="preserve">  TY2/68 8.50% YANKEE BOND due 2017/06/23</t>
  </si>
  <si>
    <t xml:space="preserve">  TY2/73C Société Générale/Paribas due 2015/05/28</t>
  </si>
  <si>
    <t xml:space="preserve">  TY2/73E 5.50% Barclays Bank PLC due 2020/04/15 </t>
  </si>
  <si>
    <t xml:space="preserve">  TY2/75 Japanese Yen Loan due 2020/06/01</t>
  </si>
  <si>
    <t xml:space="preserve">  TY2/93 3.903% US Dollar Notes due 2020/06/24</t>
  </si>
  <si>
    <t xml:space="preserve">  TY2/64 2.50% Kwandebele Water Augmentation Project due 2020/11/20</t>
  </si>
  <si>
    <t xml:space="preserve">  TY2/78 Japanese Yen Loan due 2007/07/18</t>
  </si>
  <si>
    <t xml:space="preserve">  TY2/82 World Bank: ( Municipal Financial Assistance)  2011/02/15</t>
  </si>
  <si>
    <t xml:space="preserve"> Due to switches</t>
  </si>
  <si>
    <t xml:space="preserve">  TY2/86  6.875% RSA Notes due 2019/05/27</t>
  </si>
  <si>
    <t xml:space="preserve">  TY2/87  5.50% RSA Notes due 2020/09/03</t>
  </si>
  <si>
    <t>Due to buy-backs</t>
  </si>
  <si>
    <t xml:space="preserve">  TY2/73E Barclays Bank PLC due 2020/10/15 </t>
  </si>
  <si>
    <t xml:space="preserve">  TY2/71  9.125% US Dollar Notes due 2009/05/19 </t>
  </si>
  <si>
    <t xml:space="preserve">  TY2/74A  9.125% US Dollar Notes due 2009/05/19 </t>
  </si>
  <si>
    <t xml:space="preserve">  TY2/76  7.00% Euro Notes due 2008/04/10</t>
  </si>
  <si>
    <t>Table 3.4  Change in cash and other balances</t>
  </si>
  <si>
    <t xml:space="preserve">Change in cash balances                                           </t>
  </si>
  <si>
    <t xml:space="preserve">   Opening balance</t>
  </si>
  <si>
    <t xml:space="preserve">       SARB accounts</t>
  </si>
  <si>
    <t xml:space="preserve">       Commercial Banks - Tax and Loan accounts</t>
  </si>
  <si>
    <t xml:space="preserve">   Closing balance</t>
  </si>
  <si>
    <t>Outstanding transfers from the Exchequer to the PMG Accounts</t>
  </si>
  <si>
    <t>Cash-flow adjustment</t>
  </si>
  <si>
    <t xml:space="preserve">Surrenders by National Departments                       </t>
  </si>
  <si>
    <t xml:space="preserve">     2019/20 and prior</t>
  </si>
  <si>
    <t xml:space="preserve">      2012/2013</t>
  </si>
  <si>
    <t xml:space="preserve">Late requests by National Departments                 </t>
  </si>
  <si>
    <t xml:space="preserve">     2019/20 and prior </t>
  </si>
  <si>
    <t>Reconciliation between actual revenue and actual expenditure against NRF flows</t>
  </si>
  <si>
    <t>Total change in cash and other balances</t>
  </si>
  <si>
    <t>2) Includes R33.9 billion in respect of delayed interest and loan redemption payment scheduled for Sunday, 31 March 2013</t>
  </si>
  <si>
    <t xml:space="preserve">    but paid on 2 April 2013. In the Budget Review 2014 this balance was shown net of delayed payment</t>
  </si>
  <si>
    <t>2) The closing balance for 31 March 2015 excludes an amount of R3.8 billion of tax revenue received</t>
  </si>
  <si>
    <t xml:space="preserve">    in the account of the South African Revenue Services but not yet rolled-up into tax and loan account</t>
  </si>
  <si>
    <t>2) Surrenders by National Departments are unspent funds requested in previous financial years.</t>
  </si>
  <si>
    <t>3) Late requests are requisitions with regard to expenditure committed in previous years.</t>
  </si>
  <si>
    <t>Table 4  Summary of cash flow</t>
  </si>
  <si>
    <t xml:space="preserve">Exchequer revenue                                                                                           </t>
  </si>
  <si>
    <t xml:space="preserve">   1)</t>
  </si>
  <si>
    <t xml:space="preserve">Departmental requisitions                                                                                    </t>
  </si>
  <si>
    <t xml:space="preserve">   2)</t>
  </si>
  <si>
    <t>Voted amounts</t>
  </si>
  <si>
    <t xml:space="preserve">   3)</t>
  </si>
  <si>
    <t xml:space="preserve">Direct charges against the NRF                                     </t>
  </si>
  <si>
    <t>Skills levy and SETAs</t>
  </si>
  <si>
    <t>Total financing</t>
  </si>
  <si>
    <t>Loans issued for financing (net)</t>
  </si>
  <si>
    <t>Loans issued (gross)</t>
  </si>
  <si>
    <t>Discount</t>
  </si>
  <si>
    <t>Redemptions</t>
  </si>
  <si>
    <t xml:space="preserve">   Buy-backs (excluding book profit)</t>
  </si>
  <si>
    <t>Loans issued for switches (net)</t>
  </si>
  <si>
    <t>Loans switched (net of book profit)</t>
  </si>
  <si>
    <t>Loans issued for repo's (net)</t>
  </si>
  <si>
    <t>Repo out</t>
  </si>
  <si>
    <t>Repo in</t>
  </si>
  <si>
    <t>Loans issued for extraordinary purposes (net)</t>
  </si>
  <si>
    <t xml:space="preserve">   Rand value at date of issue</t>
  </si>
  <si>
    <t xml:space="preserve">   Revaluation   </t>
  </si>
  <si>
    <t>Loans switched (excluding book profit)</t>
  </si>
  <si>
    <t>Loans issued for buy-backs (net)</t>
  </si>
  <si>
    <t>Buy-backs (excluding book profit)</t>
  </si>
  <si>
    <t>Other movements</t>
  </si>
  <si>
    <t xml:space="preserve">   4)</t>
  </si>
  <si>
    <t>Surrenders/Late requests</t>
  </si>
  <si>
    <t>Outstanding transfers from the Exchequer to PMG Accounts</t>
  </si>
  <si>
    <t>Changes in cash balances</t>
  </si>
  <si>
    <t xml:space="preserve">Change in cash balances                                                                                      </t>
  </si>
  <si>
    <t>Opening balance</t>
  </si>
  <si>
    <t xml:space="preserve">   </t>
  </si>
  <si>
    <t>SARB accounts</t>
  </si>
  <si>
    <t>Commercial Banks - Tax and Loan accounts</t>
  </si>
  <si>
    <t>SARB deposit account</t>
  </si>
  <si>
    <t>Closing balance</t>
  </si>
  <si>
    <t xml:space="preserve">Commercial Banks - Tax and Loan accounts                                                       </t>
  </si>
  <si>
    <t>1) Revenue received into the Exchequer Account.</t>
  </si>
  <si>
    <t>2) Fund requisitions by departments.</t>
  </si>
  <si>
    <t>3) Includes payment in terms of Section 58 of the Finance and Financial Adjustments Acts Consolidation Act no 11 of 1997.</t>
  </si>
  <si>
    <t>4) A negative value indicates an increase in cash and other balances. A positive value indicates that cash is used to finance part of the borrowing requirement.</t>
  </si>
  <si>
    <t>Table 5 Additional information on National Revenue Fund receipts and payments1</t>
  </si>
  <si>
    <t>NRF receipts (excludes book profit)</t>
  </si>
  <si>
    <t xml:space="preserve">Agricultural Debt Account surrender                     </t>
  </si>
  <si>
    <t>Double payment of R150 settlement on 21/07/00</t>
  </si>
  <si>
    <t>Excess of roadshow advance iro USD750 million</t>
  </si>
  <si>
    <t xml:space="preserve">Foreign exchange amnesty proceeds                         </t>
  </si>
  <si>
    <t>Incorrect deposit into the Exchequer</t>
  </si>
  <si>
    <t>Incorrect transfer from CPD</t>
  </si>
  <si>
    <t>Profit on buy back</t>
  </si>
  <si>
    <t>Saambou Bank liability</t>
  </si>
  <si>
    <t>Equalisation Fund account transfer</t>
  </si>
  <si>
    <t>Interest earned on Defence Procurement Export Credit Facilities</t>
  </si>
  <si>
    <t xml:space="preserve">Lebowa Minerals Trust abolition              </t>
  </si>
  <si>
    <t xml:space="preserve">Penalties on retail bonds                      </t>
  </si>
  <si>
    <t>Penalties and forfeits from SARB</t>
  </si>
  <si>
    <t xml:space="preserve">Surplus cash from ICASA                      </t>
  </si>
  <si>
    <t xml:space="preserve">Premium on debt portfolio restructuring                              </t>
  </si>
  <si>
    <t xml:space="preserve">Premiums on loan transactions            </t>
  </si>
  <si>
    <t>Refund on Hermes fees</t>
  </si>
  <si>
    <t>Proceeds from the restructuring of Aventura</t>
  </si>
  <si>
    <t>Proceeds from the sale of Telkom 's share in Vodacom</t>
  </si>
  <si>
    <t>Revaluation profits on foreign currency transactions</t>
  </si>
  <si>
    <t>Winding down of Diabo Share Trust</t>
  </si>
  <si>
    <t xml:space="preserve">Profits on GFECRA                     </t>
  </si>
  <si>
    <t>Special  restructuring proceeds from Telkom</t>
  </si>
  <si>
    <t xml:space="preserve">SASSA FNB indemnity </t>
  </si>
  <si>
    <t xml:space="preserve">Special dividends from Eskom                       </t>
  </si>
  <si>
    <t xml:space="preserve">Special dividends from Telkom                       </t>
  </si>
  <si>
    <t>Special restructuring proceeds from Airwing</t>
  </si>
  <si>
    <t>Profit on script lending</t>
  </si>
  <si>
    <t>Special restructuring proceeds from ICASA</t>
  </si>
  <si>
    <t>Liquidation of SASRIA investment</t>
  </si>
  <si>
    <t>IMF revaluation profits</t>
  </si>
  <si>
    <t xml:space="preserve">NRF payments </t>
  </si>
  <si>
    <t>Incorrect transfer from PMG</t>
  </si>
  <si>
    <t>Revaluation losses on foreign currency transactions</t>
  </si>
  <si>
    <t xml:space="preserve">Losses on GFECRA                                                                </t>
  </si>
  <si>
    <t>Revaluation loss on foreign currency transactions</t>
  </si>
  <si>
    <t xml:space="preserve">Premium on debt portfolio restructuring                                </t>
  </si>
  <si>
    <t xml:space="preserve">Premium on foreign portfolio debt portfolio restructuring                                </t>
  </si>
  <si>
    <t>Takeover of former Regional Authorities debt</t>
  </si>
  <si>
    <t>Loss on switches</t>
  </si>
  <si>
    <t>Loss on script lending</t>
  </si>
  <si>
    <t>Book profit</t>
  </si>
  <si>
    <t>1) NRF receipts and payments form part of departmental revenue (Table 1) and direct charges (Table 2) respectively.</t>
  </si>
  <si>
    <t>2) Realised profits/losses on the Gold and Foreign Exchange Contingency Reserve Account.</t>
  </si>
  <si>
    <t xml:space="preserve">1)  Book profits made on debt portfolio restructuring, previously included in Revenue, are now added to extraordinary receipts.  In the 2001/02 fiscal year the following amounts:  </t>
  </si>
  <si>
    <t xml:space="preserve">     June (R498,641 million), July (R405,987 million), August (R22,497 million) and October (R15 thousand).</t>
  </si>
  <si>
    <t xml:space="preserve">     Adjustments were also made to the 2000/01 fiscal year, November (R71,087 million), December (R188,070 million), February (R42,439 million) and March (R166,509 million). </t>
  </si>
  <si>
    <t xml:space="preserve">     Detail on book profits are shown on Schedule 4.2.</t>
  </si>
  <si>
    <t xml:space="preserve">3)  Premiums paid on debt portfolio restructuring, previously included as state debt cost expenditure,  are now added to extraordinary payments.  </t>
  </si>
  <si>
    <t xml:space="preserve">      In the 2001/02 fiscal year the following amounts:  May (R599,981 million), July (R49,630 million), August (R185,755 million),  September (R325,210 million) and</t>
  </si>
  <si>
    <t xml:space="preserve">     October (R753,327 million).  Adjustments were also made to the 2000/01 fiscal year,  February (R12,745 million) and March (R3,438 million).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</si>
</sst>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43" formatCode="_(* #,##0.00_);_(* \(#,##0.00\);_(* &quot;-&quot;??_);_(@_)"/>
    <numFmt numFmtId="164" formatCode="_-* #,##0.00_-;\-* #,##0.00_-;_-* &quot;-&quot;??_-;_-@_-"/>
    <numFmt numFmtId="165" formatCode="_(* #,##0_);_(* \(#,##0\);_(* &quot;-&quot;??_);_(@_)"/>
    <numFmt numFmtId="166" formatCode="_ * #,##0.00_ ;_ * \-#,##0.00_ ;_ * &quot;-&quot;??_ ;_ @_ "/>
    <numFmt numFmtId="167" formatCode="_ * #,##0_ ;_ * \-#,##0_ ;_ * &quot;-&quot;??_ ;_ @_ "/>
    <numFmt numFmtId="168" formatCode="_(* #,##0.0_);_(* \(#,##0.0\);_(* &quot;-&quot;??_);_(@_)"/>
    <numFmt numFmtId="169" formatCode=";;;"/>
    <numFmt numFmtId="170" formatCode="_(* #,##0.000000000000000000000000000_);_(* \(#,##0.000000000000000000000000000\);_(* &quot;-&quot;??_);_(@_)"/>
    <numFmt numFmtId="171" formatCode="_(* #,##0.000000000000000000_);_(* \(#,##0.000000000000000000\);_(* &quot;-&quot;??_);_(@_)"/>
    <numFmt numFmtId="172" formatCode="_(* #,##0.0000000_);_(* \(#,##0.0000000\);_(* &quot;-&quot;??_);_(@_)"/>
    <numFmt numFmtId="173" formatCode="_(* #,##0.0000_);_(* \(#,##0.0000\);_(* &quot;-&quot;??_);_(@_)"/>
    <numFmt numFmtId="174" formatCode="_(* #,##0.00000_);_(* \(#,##0.00000\);_(* &quot;-&quot;??_);_(@_)"/>
    <numFmt numFmtId="175" formatCode="_(* #,##0.0000000000000000000000000000_);_(* \(#,##0.0000000000000000000000000000\);_(* &quot;-&quot;??_);_(@_)"/>
    <numFmt numFmtId="176" formatCode="_(* #,##0.000000000000000000000000000000000_);_(* \(#,##0.000000000000000000000000000000000\);_(* &quot;-&quot;??_);_(@_)"/>
    <numFmt numFmtId="177" formatCode="_(* #,##0.0000000000000000000000000000000000_);_(* \(#,##0.0000000000000000000000000000000000\);_(* &quot;-&quot;??_);_(@_)"/>
    <numFmt numFmtId="178" formatCode="_-* #,##0_-;\-* #,##0_-;_-* &quot;-&quot;??_-;_-@_-"/>
    <numFmt numFmtId="179" formatCode="_(* #,##0.000_);_(* \(#,##0.000\);_(* &quot;-&quot;??_);_(@_)"/>
    <numFmt numFmtId="180" formatCode="_-* #,##0.0_-;\-* #,##0.0_-;_-* &quot;-&quot;??_-;_-@_-"/>
  </numFmts>
  <fonts count="25" x14ac:knownFonts="1">
    <font>
      <sz val="11"/>
      <color theme="1"/>
      <name val="Calibri"/>
      <family val="2"/>
      <scheme val="minor"/>
    </font>
    <font>
      <sz val="11"/>
      <color theme="1"/>
      <name val="Calibri"/>
      <family val="2"/>
      <scheme val="minor"/>
    </font>
    <font>
      <b/>
      <sz val="10"/>
      <name val="Arial"/>
      <family val="2"/>
    </font>
    <font>
      <sz val="8"/>
      <name val="Arial Narrow"/>
      <family val="2"/>
    </font>
    <font>
      <sz val="10"/>
      <name val="Arial"/>
      <family val="2"/>
    </font>
    <font>
      <b/>
      <sz val="12"/>
      <name val="Arial Narrow"/>
      <family val="2"/>
    </font>
    <font>
      <b/>
      <sz val="10"/>
      <name val="Arial Narrow"/>
      <family val="2"/>
    </font>
    <font>
      <b/>
      <sz val="8"/>
      <name val="Arial Narrow"/>
      <family val="2"/>
    </font>
    <font>
      <sz val="10"/>
      <name val="Arial Narrow"/>
      <family val="2"/>
    </font>
    <font>
      <b/>
      <i/>
      <sz val="10"/>
      <name val="Arial Narrow"/>
      <family val="2"/>
    </font>
    <font>
      <i/>
      <sz val="10"/>
      <name val="Arial Narrow"/>
      <family val="2"/>
    </font>
    <font>
      <sz val="10"/>
      <color indexed="8"/>
      <name val="Arial Narrow"/>
      <family val="2"/>
    </font>
    <font>
      <i/>
      <sz val="10"/>
      <color indexed="8"/>
      <name val="Arial Narrow"/>
      <family val="2"/>
    </font>
    <font>
      <i/>
      <sz val="9"/>
      <name val="Arial Narrow"/>
      <family val="2"/>
    </font>
    <font>
      <b/>
      <i/>
      <sz val="10"/>
      <color indexed="8"/>
      <name val="Arial Narrow"/>
      <family val="2"/>
    </font>
    <font>
      <b/>
      <sz val="10"/>
      <color indexed="8"/>
      <name val="Arial Narrow"/>
      <family val="2"/>
    </font>
    <font>
      <sz val="10"/>
      <color theme="1"/>
      <name val="Arial Narrow"/>
      <family val="2"/>
    </font>
    <font>
      <i/>
      <sz val="10"/>
      <color theme="1"/>
      <name val="Arial Narrow"/>
      <family val="2"/>
    </font>
    <font>
      <sz val="8"/>
      <color theme="1"/>
      <name val="Arial Narrow"/>
      <family val="2"/>
    </font>
    <font>
      <sz val="11"/>
      <name val="Arial"/>
      <family val="2"/>
    </font>
    <font>
      <u/>
      <sz val="10"/>
      <color indexed="8"/>
      <name val="Arial Narrow"/>
      <family val="2"/>
    </font>
    <font>
      <b/>
      <u/>
      <sz val="10"/>
      <color indexed="8"/>
      <name val="Arial Narrow"/>
      <family val="2"/>
    </font>
    <font>
      <i/>
      <sz val="10"/>
      <name val="Arial"/>
      <family val="2"/>
    </font>
    <font>
      <i/>
      <sz val="8"/>
      <name val="Arial"/>
      <family val="2"/>
    </font>
    <font>
      <sz val="8"/>
      <name val="Arial"/>
      <family val="2"/>
    </font>
  </fonts>
  <fills count="3">
    <fill>
      <patternFill patternType="none"/>
    </fill>
    <fill>
      <patternFill patternType="gray125"/>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0" fontId="19" fillId="0" borderId="0"/>
  </cellStyleXfs>
  <cellXfs count="728">
    <xf numFmtId="0" fontId="0" fillId="0" borderId="0" xfId="0"/>
    <xf numFmtId="0" fontId="3" fillId="0" borderId="3" xfId="0" applyFont="1" applyFill="1" applyBorder="1" applyAlignment="1">
      <alignment vertical="center"/>
    </xf>
    <xf numFmtId="0" fontId="3" fillId="0" borderId="0" xfId="0" applyFont="1" applyFill="1" applyBorder="1" applyAlignment="1">
      <alignment vertical="center"/>
    </xf>
    <xf numFmtId="0" fontId="2" fillId="0" borderId="3" xfId="0" applyFont="1" applyFill="1" applyBorder="1" applyAlignment="1">
      <alignment horizontal="left" vertical="center" wrapText="1"/>
    </xf>
    <xf numFmtId="0" fontId="3" fillId="0" borderId="0" xfId="0" applyFont="1" applyFill="1" applyBorder="1" applyAlignment="1">
      <alignment horizontal="right"/>
    </xf>
    <xf numFmtId="0" fontId="3" fillId="0" borderId="0" xfId="0" applyFont="1" applyFill="1" applyBorder="1"/>
    <xf numFmtId="0" fontId="5" fillId="0" borderId="0" xfId="0" applyFont="1" applyFill="1" applyBorder="1"/>
    <xf numFmtId="0" fontId="6" fillId="0" borderId="0" xfId="0" applyFont="1" applyFill="1" applyBorder="1"/>
    <xf numFmtId="0" fontId="7" fillId="0" borderId="0" xfId="0" applyFont="1" applyFill="1" applyBorder="1"/>
    <xf numFmtId="164" fontId="3" fillId="0" borderId="0" xfId="1" applyFont="1" applyFill="1" applyBorder="1"/>
    <xf numFmtId="0" fontId="5" fillId="0" borderId="6" xfId="0" applyFont="1" applyFill="1" applyBorder="1"/>
    <xf numFmtId="0" fontId="6" fillId="0" borderId="6" xfId="0" applyFont="1" applyFill="1" applyBorder="1"/>
    <xf numFmtId="0" fontId="3" fillId="0" borderId="6" xfId="0" applyFont="1" applyFill="1" applyBorder="1"/>
    <xf numFmtId="0" fontId="7" fillId="0" borderId="6" xfId="0" applyFont="1" applyFill="1" applyBorder="1"/>
    <xf numFmtId="164" fontId="3" fillId="0" borderId="6" xfId="1" applyFont="1" applyFill="1" applyBorder="1"/>
    <xf numFmtId="0" fontId="3" fillId="0" borderId="0" xfId="0" applyFont="1" applyFill="1"/>
    <xf numFmtId="0" fontId="6" fillId="0" borderId="7" xfId="0" applyFont="1" applyFill="1" applyBorder="1"/>
    <xf numFmtId="0" fontId="6" fillId="0" borderId="8" xfId="0" applyFont="1" applyFill="1" applyBorder="1"/>
    <xf numFmtId="0" fontId="8" fillId="0" borderId="7" xfId="0" applyFont="1" applyFill="1" applyBorder="1"/>
    <xf numFmtId="0" fontId="8" fillId="0" borderId="0" xfId="0" applyFont="1" applyFill="1"/>
    <xf numFmtId="0" fontId="6" fillId="0" borderId="12" xfId="0" applyFont="1" applyFill="1" applyBorder="1" applyAlignment="1">
      <alignment horizontal="center"/>
    </xf>
    <xf numFmtId="165" fontId="6" fillId="0" borderId="13" xfId="1" applyNumberFormat="1" applyFont="1" applyFill="1" applyBorder="1" applyAlignment="1">
      <alignment horizontal="right"/>
    </xf>
    <xf numFmtId="165" fontId="6" fillId="0" borderId="14" xfId="1" applyNumberFormat="1" applyFont="1" applyFill="1" applyBorder="1" applyAlignment="1">
      <alignment horizontal="right"/>
    </xf>
    <xf numFmtId="165" fontId="6" fillId="0" borderId="15" xfId="1" applyNumberFormat="1" applyFont="1" applyFill="1" applyBorder="1" applyAlignment="1">
      <alignment horizontal="right"/>
    </xf>
    <xf numFmtId="0" fontId="6" fillId="0" borderId="0" xfId="0" applyFont="1" applyFill="1"/>
    <xf numFmtId="0" fontId="6" fillId="0" borderId="16" xfId="0" applyFont="1" applyFill="1" applyBorder="1"/>
    <xf numFmtId="0" fontId="6" fillId="0" borderId="17" xfId="0" applyFont="1" applyFill="1" applyBorder="1"/>
    <xf numFmtId="0" fontId="6" fillId="0" borderId="18" xfId="0" applyFont="1" applyFill="1" applyBorder="1" applyAlignment="1">
      <alignment horizontal="center"/>
    </xf>
    <xf numFmtId="165" fontId="6" fillId="0" borderId="19" xfId="1" applyNumberFormat="1" applyFont="1" applyFill="1" applyBorder="1" applyAlignment="1">
      <alignment horizontal="right"/>
    </xf>
    <xf numFmtId="165" fontId="6" fillId="0" borderId="20" xfId="1" applyNumberFormat="1" applyFont="1" applyFill="1" applyBorder="1" applyAlignment="1">
      <alignment horizontal="right"/>
    </xf>
    <xf numFmtId="0" fontId="6" fillId="0" borderId="17" xfId="0" applyFont="1" applyFill="1" applyBorder="1" applyAlignment="1">
      <alignment horizontal="right"/>
    </xf>
    <xf numFmtId="0" fontId="6" fillId="0" borderId="21" xfId="0" applyFont="1" applyFill="1" applyBorder="1"/>
    <xf numFmtId="0" fontId="6" fillId="0" borderId="15" xfId="0" applyFont="1" applyFill="1" applyBorder="1"/>
    <xf numFmtId="0" fontId="6" fillId="0" borderId="22" xfId="0" applyFont="1" applyFill="1" applyBorder="1" applyAlignment="1">
      <alignment horizontal="center"/>
    </xf>
    <xf numFmtId="0" fontId="6" fillId="0" borderId="13" xfId="0" applyFont="1" applyFill="1" applyBorder="1" applyAlignment="1">
      <alignment horizontal="center"/>
    </xf>
    <xf numFmtId="165" fontId="6" fillId="0" borderId="23" xfId="1" applyNumberFormat="1" applyFont="1" applyFill="1" applyBorder="1" applyAlignment="1">
      <alignment horizontal="right"/>
    </xf>
    <xf numFmtId="0" fontId="6" fillId="0" borderId="14" xfId="0" applyFont="1" applyFill="1" applyBorder="1" applyAlignment="1">
      <alignment horizontal="center"/>
    </xf>
    <xf numFmtId="165" fontId="6" fillId="0" borderId="14" xfId="0" applyNumberFormat="1" applyFont="1" applyFill="1" applyBorder="1" applyAlignment="1">
      <alignment horizontal="center"/>
    </xf>
    <xf numFmtId="165" fontId="8" fillId="0" borderId="0" xfId="0" applyNumberFormat="1" applyFont="1" applyFill="1"/>
    <xf numFmtId="0" fontId="8" fillId="0" borderId="0" xfId="0" applyFont="1" applyFill="1" applyBorder="1"/>
    <xf numFmtId="165" fontId="6" fillId="0" borderId="24" xfId="1" applyNumberFormat="1" applyFont="1" applyFill="1" applyBorder="1" applyAlignment="1">
      <alignment horizontal="right"/>
    </xf>
    <xf numFmtId="165" fontId="6" fillId="0" borderId="24" xfId="1" applyNumberFormat="1" applyFont="1" applyFill="1" applyBorder="1" applyAlignment="1">
      <alignment horizontal="center"/>
    </xf>
    <xf numFmtId="0" fontId="8" fillId="0" borderId="7" xfId="0" applyFont="1" applyFill="1" applyBorder="1" applyAlignment="1">
      <alignment horizontal="right"/>
    </xf>
    <xf numFmtId="165" fontId="8" fillId="0" borderId="0" xfId="0" applyNumberFormat="1" applyFont="1" applyFill="1" applyAlignment="1">
      <alignment horizontal="right"/>
    </xf>
    <xf numFmtId="0" fontId="6" fillId="0" borderId="0" xfId="0" applyFont="1" applyFill="1" applyAlignment="1">
      <alignment horizontal="right"/>
    </xf>
    <xf numFmtId="0" fontId="8" fillId="0" borderId="12" xfId="0" applyFont="1" applyFill="1" applyBorder="1" applyAlignment="1">
      <alignment horizontal="center"/>
    </xf>
    <xf numFmtId="165" fontId="8" fillId="0" borderId="23" xfId="1" applyNumberFormat="1" applyFont="1" applyFill="1" applyBorder="1" applyAlignment="1">
      <alignment horizontal="right"/>
    </xf>
    <xf numFmtId="43" fontId="8" fillId="0" borderId="23" xfId="1" applyNumberFormat="1" applyFont="1" applyFill="1" applyBorder="1" applyAlignment="1">
      <alignment horizontal="right"/>
    </xf>
    <xf numFmtId="43" fontId="8" fillId="0" borderId="24" xfId="1" applyNumberFormat="1" applyFont="1" applyFill="1" applyBorder="1" applyAlignment="1">
      <alignment horizontal="right"/>
    </xf>
    <xf numFmtId="165" fontId="8" fillId="0" borderId="24" xfId="1" applyNumberFormat="1" applyFont="1" applyFill="1" applyBorder="1" applyAlignment="1">
      <alignment horizontal="right"/>
    </xf>
    <xf numFmtId="0" fontId="8" fillId="0" borderId="0" xfId="0" applyFont="1" applyFill="1" applyAlignment="1">
      <alignment horizontal="right"/>
    </xf>
    <xf numFmtId="0" fontId="9" fillId="0" borderId="7" xfId="0" applyFont="1" applyFill="1" applyBorder="1"/>
    <xf numFmtId="165" fontId="6" fillId="0" borderId="23" xfId="1" applyNumberFormat="1" applyFont="1" applyFill="1" applyBorder="1" applyAlignment="1">
      <alignment horizontal="center"/>
    </xf>
    <xf numFmtId="165" fontId="6" fillId="0" borderId="0" xfId="1" applyNumberFormat="1" applyFont="1" applyFill="1" applyBorder="1" applyAlignment="1">
      <alignment horizontal="center"/>
    </xf>
    <xf numFmtId="165" fontId="6" fillId="0" borderId="7" xfId="1" applyNumberFormat="1" applyFont="1" applyFill="1" applyBorder="1" applyAlignment="1">
      <alignment horizontal="center"/>
    </xf>
    <xf numFmtId="0" fontId="8" fillId="0" borderId="0" xfId="0" applyFont="1" applyFill="1" applyBorder="1" applyAlignment="1">
      <alignment horizontal="right"/>
    </xf>
    <xf numFmtId="0" fontId="10" fillId="0" borderId="0" xfId="0" applyFont="1" applyFill="1" applyBorder="1"/>
    <xf numFmtId="0" fontId="9" fillId="0" borderId="12" xfId="0" applyFont="1" applyFill="1" applyBorder="1" applyAlignment="1">
      <alignment horizontal="center"/>
    </xf>
    <xf numFmtId="165" fontId="10" fillId="0" borderId="23" xfId="1" applyNumberFormat="1" applyFont="1" applyFill="1" applyBorder="1" applyAlignment="1">
      <alignment horizontal="center"/>
    </xf>
    <xf numFmtId="165" fontId="10" fillId="0" borderId="24" xfId="1" applyNumberFormat="1" applyFont="1" applyFill="1" applyBorder="1" applyAlignment="1">
      <alignment horizontal="center"/>
    </xf>
    <xf numFmtId="0" fontId="9" fillId="0" borderId="7" xfId="0" applyFont="1" applyFill="1" applyBorder="1" applyAlignment="1">
      <alignment horizontal="left" indent="1"/>
    </xf>
    <xf numFmtId="0" fontId="6" fillId="0" borderId="0" xfId="0" applyFont="1" applyFill="1" applyBorder="1" applyAlignment="1">
      <alignment horizontal="left" indent="1"/>
    </xf>
    <xf numFmtId="0" fontId="11" fillId="0" borderId="0" xfId="0" applyNumberFormat="1" applyFont="1" applyFill="1" applyBorder="1" applyAlignment="1">
      <alignment horizontal="left" wrapText="1"/>
    </xf>
    <xf numFmtId="0" fontId="8" fillId="0" borderId="0" xfId="0" applyFont="1" applyFill="1" applyBorder="1" applyAlignment="1">
      <alignment horizontal="left" indent="1"/>
    </xf>
    <xf numFmtId="0" fontId="6" fillId="0" borderId="12" xfId="0" applyFont="1" applyFill="1" applyBorder="1" applyAlignment="1">
      <alignment horizontal="left" indent="1"/>
    </xf>
    <xf numFmtId="165" fontId="8" fillId="0" borderId="23" xfId="1" applyNumberFormat="1" applyFont="1" applyFill="1" applyBorder="1" applyAlignment="1">
      <alignment horizontal="left" indent="1"/>
    </xf>
    <xf numFmtId="0" fontId="8" fillId="0" borderId="7" xfId="0" applyFont="1" applyFill="1" applyBorder="1" applyAlignment="1">
      <alignment horizontal="left" indent="1"/>
    </xf>
    <xf numFmtId="0" fontId="8" fillId="0" borderId="0" xfId="0" applyFont="1" applyFill="1" applyAlignment="1">
      <alignment horizontal="left" indent="1"/>
    </xf>
    <xf numFmtId="0" fontId="10" fillId="0" borderId="0" xfId="0" applyFont="1" applyFill="1" applyBorder="1" applyAlignment="1">
      <alignment horizontal="left" indent="1"/>
    </xf>
    <xf numFmtId="165" fontId="10" fillId="0" borderId="0" xfId="1" applyNumberFormat="1" applyFont="1" applyFill="1" applyBorder="1" applyAlignment="1">
      <alignment horizontal="center"/>
    </xf>
    <xf numFmtId="0" fontId="12" fillId="0" borderId="0" xfId="0" applyNumberFormat="1" applyFont="1" applyFill="1" applyBorder="1" applyAlignment="1">
      <alignment horizontal="left" wrapText="1" indent="1"/>
    </xf>
    <xf numFmtId="0" fontId="10" fillId="0" borderId="7" xfId="0" applyFont="1" applyFill="1" applyBorder="1"/>
    <xf numFmtId="0" fontId="10" fillId="0" borderId="0" xfId="0" applyFont="1" applyFill="1" applyBorder="1" applyAlignment="1">
      <alignment wrapText="1"/>
    </xf>
    <xf numFmtId="0" fontId="10" fillId="0" borderId="12" xfId="0" applyFont="1" applyFill="1" applyBorder="1" applyAlignment="1">
      <alignment horizontal="center"/>
    </xf>
    <xf numFmtId="165" fontId="8" fillId="0" borderId="23" xfId="1" applyNumberFormat="1" applyFont="1" applyFill="1" applyBorder="1" applyAlignment="1">
      <alignment horizontal="center"/>
    </xf>
    <xf numFmtId="0" fontId="8" fillId="0" borderId="0" xfId="2" applyFont="1" applyFill="1" applyBorder="1"/>
    <xf numFmtId="165" fontId="8" fillId="0" borderId="24" xfId="1" applyNumberFormat="1" applyFont="1" applyFill="1" applyBorder="1" applyAlignment="1">
      <alignment horizontal="center"/>
    </xf>
    <xf numFmtId="0" fontId="6" fillId="0" borderId="7" xfId="0" applyFont="1" applyFill="1" applyBorder="1" applyAlignment="1">
      <alignment horizontal="right"/>
    </xf>
    <xf numFmtId="41" fontId="6" fillId="0" borderId="13" xfId="1" applyNumberFormat="1" applyFont="1" applyFill="1" applyBorder="1" applyAlignment="1">
      <alignment horizontal="right"/>
    </xf>
    <xf numFmtId="41" fontId="6" fillId="0" borderId="14" xfId="1" applyNumberFormat="1" applyFont="1" applyFill="1" applyBorder="1" applyAlignment="1">
      <alignment horizontal="right"/>
    </xf>
    <xf numFmtId="37" fontId="8" fillId="0" borderId="19" xfId="1" applyNumberFormat="1" applyFont="1" applyFill="1" applyBorder="1" applyAlignment="1">
      <alignment horizontal="right"/>
    </xf>
    <xf numFmtId="37" fontId="8" fillId="0" borderId="20" xfId="1" applyNumberFormat="1" applyFont="1" applyFill="1" applyBorder="1" applyAlignment="1">
      <alignment horizontal="right"/>
    </xf>
    <xf numFmtId="165" fontId="9" fillId="0" borderId="13" xfId="1" applyNumberFormat="1" applyFont="1" applyFill="1" applyBorder="1" applyAlignment="1">
      <alignment horizontal="right"/>
    </xf>
    <xf numFmtId="165" fontId="9" fillId="0" borderId="14" xfId="1" applyNumberFormat="1" applyFont="1" applyFill="1" applyBorder="1" applyAlignment="1">
      <alignment horizontal="right"/>
    </xf>
    <xf numFmtId="165" fontId="9" fillId="0" borderId="23" xfId="1" applyNumberFormat="1" applyFont="1" applyFill="1" applyBorder="1" applyAlignment="1">
      <alignment horizontal="right"/>
    </xf>
    <xf numFmtId="165" fontId="9" fillId="0" borderId="24" xfId="1" applyNumberFormat="1" applyFont="1" applyFill="1" applyBorder="1" applyAlignment="1">
      <alignment horizontal="right"/>
    </xf>
    <xf numFmtId="0" fontId="9" fillId="0" borderId="0" xfId="0" applyFont="1" applyFill="1" applyBorder="1"/>
    <xf numFmtId="4" fontId="8" fillId="0" borderId="0" xfId="0" applyNumberFormat="1" applyFont="1" applyFill="1" applyBorder="1"/>
    <xf numFmtId="0" fontId="9" fillId="0" borderId="7" xfId="0" applyFont="1" applyFill="1" applyBorder="1" applyAlignment="1">
      <alignment horizontal="right"/>
    </xf>
    <xf numFmtId="165" fontId="8" fillId="0" borderId="19" xfId="1" applyNumberFormat="1" applyFont="1" applyFill="1" applyBorder="1" applyAlignment="1">
      <alignment horizontal="right"/>
    </xf>
    <xf numFmtId="165" fontId="8" fillId="0" borderId="20" xfId="1" applyNumberFormat="1" applyFont="1" applyFill="1" applyBorder="1" applyAlignment="1">
      <alignment horizontal="right"/>
    </xf>
    <xf numFmtId="37" fontId="6" fillId="0" borderId="13" xfId="1" applyNumberFormat="1" applyFont="1" applyFill="1" applyBorder="1" applyAlignment="1">
      <alignment horizontal="right"/>
    </xf>
    <xf numFmtId="37" fontId="6" fillId="0" borderId="14" xfId="1" applyNumberFormat="1" applyFont="1" applyFill="1" applyBorder="1" applyAlignment="1">
      <alignment horizontal="right"/>
    </xf>
    <xf numFmtId="165" fontId="9" fillId="0" borderId="0" xfId="0" applyNumberFormat="1" applyFont="1" applyFill="1" applyAlignment="1">
      <alignment horizontal="right"/>
    </xf>
    <xf numFmtId="0" fontId="8" fillId="0" borderId="25" xfId="0" applyFont="1" applyFill="1" applyBorder="1"/>
    <xf numFmtId="0" fontId="8" fillId="0" borderId="6" xfId="0" applyFont="1" applyFill="1" applyBorder="1"/>
    <xf numFmtId="0" fontId="8" fillId="0" borderId="26" xfId="0" applyFont="1" applyFill="1" applyBorder="1" applyAlignment="1">
      <alignment horizontal="center"/>
    </xf>
    <xf numFmtId="165" fontId="8" fillId="0" borderId="27" xfId="1" applyNumberFormat="1" applyFont="1" applyFill="1" applyBorder="1" applyAlignment="1">
      <alignment horizontal="right"/>
    </xf>
    <xf numFmtId="165" fontId="8" fillId="0" borderId="28" xfId="1" applyNumberFormat="1" applyFont="1" applyFill="1" applyBorder="1" applyAlignment="1">
      <alignment horizontal="right"/>
    </xf>
    <xf numFmtId="0" fontId="13" fillId="0" borderId="0" xfId="0" applyFont="1" applyFill="1" applyBorder="1"/>
    <xf numFmtId="0" fontId="8" fillId="0" borderId="0" xfId="0" applyFont="1" applyFill="1" applyBorder="1" applyAlignment="1">
      <alignment horizontal="center"/>
    </xf>
    <xf numFmtId="165" fontId="8" fillId="0" borderId="0" xfId="1" applyNumberFormat="1" applyFont="1" applyFill="1" applyBorder="1" applyAlignment="1">
      <alignment horizontal="right"/>
    </xf>
    <xf numFmtId="164" fontId="13" fillId="0" borderId="0" xfId="1" applyFont="1" applyFill="1" applyBorder="1"/>
    <xf numFmtId="0" fontId="3" fillId="0" borderId="0" xfId="0" applyFont="1" applyFill="1" applyAlignment="1">
      <alignment horizontal="right"/>
    </xf>
    <xf numFmtId="165" fontId="3" fillId="0" borderId="0" xfId="1" applyNumberFormat="1" applyFont="1" applyFill="1" applyBorder="1" applyAlignment="1">
      <alignment horizontal="right"/>
    </xf>
    <xf numFmtId="165" fontId="8" fillId="0" borderId="0" xfId="0" applyNumberFormat="1" applyFont="1" applyFill="1" applyAlignment="1"/>
    <xf numFmtId="165" fontId="6" fillId="0" borderId="6" xfId="0" applyNumberFormat="1" applyFont="1" applyFill="1" applyBorder="1" applyAlignment="1"/>
    <xf numFmtId="165" fontId="8" fillId="0" borderId="6" xfId="0" applyNumberFormat="1" applyFont="1" applyFill="1" applyBorder="1" applyAlignment="1"/>
    <xf numFmtId="165" fontId="8" fillId="0" borderId="0" xfId="0" applyNumberFormat="1" applyFont="1" applyFill="1" applyBorder="1" applyAlignment="1"/>
    <xf numFmtId="165" fontId="8" fillId="0" borderId="29" xfId="0" applyNumberFormat="1" applyFont="1" applyFill="1" applyBorder="1" applyAlignment="1"/>
    <xf numFmtId="165" fontId="8" fillId="0" borderId="30" xfId="0" applyNumberFormat="1" applyFont="1" applyFill="1" applyBorder="1" applyAlignment="1"/>
    <xf numFmtId="165" fontId="8" fillId="0" borderId="31" xfId="0" applyNumberFormat="1" applyFont="1" applyFill="1" applyBorder="1" applyAlignment="1">
      <alignment horizontal="right"/>
    </xf>
    <xf numFmtId="165" fontId="6" fillId="0" borderId="0" xfId="0" quotePrefix="1" applyNumberFormat="1" applyFont="1" applyFill="1" applyBorder="1" applyAlignment="1">
      <alignment horizontal="center"/>
    </xf>
    <xf numFmtId="165" fontId="8" fillId="0" borderId="7" xfId="0" applyNumberFormat="1" applyFont="1" applyFill="1" applyBorder="1" applyAlignment="1"/>
    <xf numFmtId="165" fontId="6" fillId="0" borderId="0" xfId="0" applyNumberFormat="1" applyFont="1" applyFill="1" applyBorder="1" applyAlignment="1"/>
    <xf numFmtId="165" fontId="10" fillId="0" borderId="24" xfId="0" applyNumberFormat="1" applyFont="1" applyFill="1" applyBorder="1" applyAlignment="1">
      <alignment horizontal="right"/>
    </xf>
    <xf numFmtId="165" fontId="6" fillId="0" borderId="13" xfId="3" applyNumberFormat="1" applyFont="1" applyFill="1" applyBorder="1" applyAlignment="1">
      <alignment horizontal="right"/>
    </xf>
    <xf numFmtId="165" fontId="6" fillId="0" borderId="14" xfId="0" applyNumberFormat="1" applyFont="1" applyFill="1" applyBorder="1" applyAlignment="1">
      <alignment horizontal="right"/>
    </xf>
    <xf numFmtId="165" fontId="6" fillId="0" borderId="32"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16" xfId="0" applyNumberFormat="1" applyFont="1" applyFill="1" applyBorder="1" applyAlignment="1"/>
    <xf numFmtId="165" fontId="6" fillId="0" borderId="17" xfId="0" applyNumberFormat="1" applyFont="1" applyFill="1" applyBorder="1" applyAlignment="1"/>
    <xf numFmtId="165" fontId="6" fillId="0" borderId="20" xfId="0" applyNumberFormat="1" applyFont="1" applyFill="1" applyBorder="1" applyAlignment="1">
      <alignment horizontal="right"/>
    </xf>
    <xf numFmtId="165" fontId="6" fillId="0" borderId="23" xfId="3" applyNumberFormat="1" applyFont="1" applyFill="1" applyBorder="1" applyAlignment="1">
      <alignment horizontal="right"/>
    </xf>
    <xf numFmtId="165" fontId="6" fillId="0" borderId="24" xfId="3" applyNumberFormat="1" applyFont="1" applyFill="1" applyBorder="1" applyAlignment="1">
      <alignment horizontal="right"/>
    </xf>
    <xf numFmtId="165" fontId="6" fillId="0" borderId="0" xfId="3" applyNumberFormat="1" applyFont="1" applyFill="1" applyBorder="1" applyAlignment="1">
      <alignment horizontal="right"/>
    </xf>
    <xf numFmtId="165" fontId="6" fillId="0" borderId="12" xfId="3" applyNumberFormat="1" applyFont="1" applyFill="1" applyBorder="1" applyAlignment="1">
      <alignment horizontal="right"/>
    </xf>
    <xf numFmtId="165" fontId="6" fillId="0" borderId="33" xfId="3" applyNumberFormat="1" applyFont="1" applyFill="1" applyBorder="1" applyAlignment="1">
      <alignment horizontal="right"/>
    </xf>
    <xf numFmtId="165" fontId="10" fillId="0" borderId="21" xfId="0" applyNumberFormat="1" applyFont="1" applyFill="1" applyBorder="1" applyAlignment="1"/>
    <xf numFmtId="165" fontId="9" fillId="0" borderId="0" xfId="0" applyNumberFormat="1" applyFont="1" applyFill="1" applyBorder="1" applyAlignment="1"/>
    <xf numFmtId="165" fontId="10" fillId="0" borderId="0" xfId="0" applyNumberFormat="1" applyFont="1" applyFill="1" applyBorder="1" applyAlignment="1"/>
    <xf numFmtId="165" fontId="9" fillId="0" borderId="15" xfId="0" applyNumberFormat="1" applyFont="1" applyFill="1" applyBorder="1" applyAlignment="1"/>
    <xf numFmtId="165" fontId="10" fillId="0" borderId="14" xfId="0" applyNumberFormat="1" applyFont="1" applyFill="1" applyBorder="1" applyAlignment="1">
      <alignment horizontal="right"/>
    </xf>
    <xf numFmtId="165" fontId="6" fillId="0" borderId="15" xfId="0" applyNumberFormat="1" applyFont="1" applyFill="1" applyBorder="1" applyAlignment="1">
      <alignment horizontal="right"/>
    </xf>
    <xf numFmtId="165" fontId="6" fillId="0" borderId="22" xfId="0" applyNumberFormat="1" applyFont="1" applyFill="1" applyBorder="1" applyAlignment="1">
      <alignment horizontal="right"/>
    </xf>
    <xf numFmtId="165" fontId="10" fillId="0" borderId="0" xfId="0" applyNumberFormat="1" applyFont="1" applyFill="1" applyAlignment="1"/>
    <xf numFmtId="165" fontId="8" fillId="0" borderId="24" xfId="0" applyNumberFormat="1" applyFont="1" applyFill="1" applyBorder="1" applyAlignment="1">
      <alignment horizontal="right"/>
    </xf>
    <xf numFmtId="165" fontId="8" fillId="0" borderId="23" xfId="0" applyNumberFormat="1" applyFont="1" applyFill="1" applyBorder="1" applyAlignment="1">
      <alignment horizontal="right"/>
    </xf>
    <xf numFmtId="165" fontId="8" fillId="0" borderId="33" xfId="0" applyNumberFormat="1" applyFont="1" applyFill="1" applyBorder="1" applyAlignment="1">
      <alignment horizontal="right"/>
    </xf>
    <xf numFmtId="165" fontId="8" fillId="0" borderId="0" xfId="0" applyNumberFormat="1" applyFont="1" applyFill="1" applyBorder="1" applyAlignment="1">
      <alignment horizontal="right"/>
    </xf>
    <xf numFmtId="165" fontId="8" fillId="0" borderId="12" xfId="0" applyNumberFormat="1" applyFont="1" applyFill="1" applyBorder="1" applyAlignment="1">
      <alignment horizontal="right"/>
    </xf>
    <xf numFmtId="165" fontId="10" fillId="0" borderId="7" xfId="0" applyNumberFormat="1" applyFont="1" applyFill="1" applyBorder="1" applyAlignment="1"/>
    <xf numFmtId="165" fontId="14" fillId="0" borderId="0" xfId="0" applyNumberFormat="1" applyFont="1" applyFill="1" applyBorder="1" applyAlignment="1"/>
    <xf numFmtId="165" fontId="12" fillId="0" borderId="24" xfId="0" applyNumberFormat="1" applyFont="1" applyFill="1" applyBorder="1" applyAlignment="1">
      <alignment horizontal="right"/>
    </xf>
    <xf numFmtId="165" fontId="6" fillId="0" borderId="24" xfId="3" applyNumberFormat="1" applyFont="1" applyFill="1" applyBorder="1" applyAlignment="1">
      <alignment horizontal="center"/>
    </xf>
    <xf numFmtId="165" fontId="6" fillId="0" borderId="0" xfId="3" applyNumberFormat="1" applyFont="1" applyFill="1" applyBorder="1" applyAlignment="1">
      <alignment horizontal="center"/>
    </xf>
    <xf numFmtId="165" fontId="6" fillId="0" borderId="12" xfId="3" applyNumberFormat="1" applyFont="1" applyFill="1" applyBorder="1" applyAlignment="1">
      <alignment horizontal="center"/>
    </xf>
    <xf numFmtId="165" fontId="6" fillId="0" borderId="33" xfId="3" applyNumberFormat="1" applyFont="1" applyFill="1" applyBorder="1" applyAlignment="1">
      <alignment horizontal="center"/>
    </xf>
    <xf numFmtId="165" fontId="11" fillId="0" borderId="0" xfId="0" applyNumberFormat="1" applyFont="1" applyFill="1" applyBorder="1" applyAlignment="1"/>
    <xf numFmtId="165" fontId="11" fillId="0" borderId="0" xfId="0" applyNumberFormat="1" applyFont="1" applyFill="1" applyBorder="1" applyAlignment="1">
      <alignment horizontal="right"/>
    </xf>
    <xf numFmtId="165" fontId="6" fillId="0" borderId="23" xfId="3" applyNumberFormat="1" applyFont="1" applyFill="1" applyBorder="1" applyAlignment="1">
      <alignment horizontal="center"/>
    </xf>
    <xf numFmtId="165" fontId="6" fillId="0" borderId="34" xfId="3" applyNumberFormat="1" applyFont="1" applyFill="1" applyBorder="1" applyAlignment="1">
      <alignment horizontal="center"/>
    </xf>
    <xf numFmtId="165" fontId="15" fillId="0" borderId="0" xfId="0" applyNumberFormat="1" applyFont="1" applyFill="1" applyBorder="1" applyAlignment="1"/>
    <xf numFmtId="165" fontId="11" fillId="0" borderId="24" xfId="0" applyNumberFormat="1" applyFont="1" applyFill="1" applyBorder="1" applyAlignment="1">
      <alignment horizontal="right"/>
    </xf>
    <xf numFmtId="165" fontId="12" fillId="0" borderId="0" xfId="0" applyNumberFormat="1" applyFont="1" applyFill="1" applyBorder="1" applyAlignment="1"/>
    <xf numFmtId="165" fontId="16" fillId="0" borderId="0" xfId="0" applyNumberFormat="1" applyFont="1" applyFill="1" applyBorder="1" applyAlignment="1">
      <alignment horizontal="left"/>
    </xf>
    <xf numFmtId="165" fontId="8" fillId="0" borderId="23" xfId="3" applyNumberFormat="1" applyFont="1" applyFill="1" applyBorder="1" applyAlignment="1">
      <alignment horizontal="center"/>
    </xf>
    <xf numFmtId="165" fontId="8" fillId="0" borderId="24" xfId="3" applyNumberFormat="1" applyFont="1" applyFill="1" applyBorder="1" applyAlignment="1">
      <alignment horizontal="center"/>
    </xf>
    <xf numFmtId="165" fontId="8" fillId="0" borderId="0" xfId="3" applyNumberFormat="1" applyFont="1" applyFill="1" applyBorder="1" applyAlignment="1">
      <alignment horizontal="center"/>
    </xf>
    <xf numFmtId="165" fontId="8" fillId="0" borderId="12" xfId="3" applyNumberFormat="1" applyFont="1" applyFill="1" applyBorder="1" applyAlignment="1">
      <alignment horizontal="center"/>
    </xf>
    <xf numFmtId="165" fontId="8" fillId="0" borderId="33" xfId="3" applyNumberFormat="1" applyFont="1" applyFill="1" applyBorder="1" applyAlignment="1">
      <alignment horizontal="center"/>
    </xf>
    <xf numFmtId="165" fontId="12" fillId="0" borderId="0" xfId="0" applyNumberFormat="1" applyFont="1" applyFill="1" applyBorder="1" applyAlignment="1">
      <alignment horizontal="left"/>
    </xf>
    <xf numFmtId="165" fontId="10" fillId="0" borderId="23" xfId="0" applyNumberFormat="1" applyFont="1" applyFill="1" applyBorder="1" applyAlignment="1">
      <alignment horizontal="right"/>
    </xf>
    <xf numFmtId="165" fontId="10" fillId="0" borderId="12" xfId="0" applyNumberFormat="1" applyFont="1" applyFill="1" applyBorder="1" applyAlignment="1">
      <alignment horizontal="right"/>
    </xf>
    <xf numFmtId="165" fontId="10" fillId="0" borderId="33" xfId="0" applyNumberFormat="1" applyFont="1" applyFill="1" applyBorder="1" applyAlignment="1">
      <alignment horizontal="right"/>
    </xf>
    <xf numFmtId="165" fontId="10" fillId="0" borderId="0" xfId="0" applyNumberFormat="1" applyFont="1" applyFill="1" applyBorder="1" applyAlignment="1">
      <alignment horizontal="right"/>
    </xf>
    <xf numFmtId="165" fontId="17" fillId="0" borderId="0" xfId="0" applyNumberFormat="1" applyFont="1" applyFill="1" applyBorder="1" applyAlignment="1">
      <alignment horizontal="left"/>
    </xf>
    <xf numFmtId="165" fontId="10" fillId="0" borderId="23" xfId="3" applyNumberFormat="1" applyFont="1" applyFill="1" applyBorder="1" applyAlignment="1">
      <alignment horizontal="center"/>
    </xf>
    <xf numFmtId="165" fontId="10" fillId="0" borderId="24" xfId="3" applyNumberFormat="1" applyFont="1" applyFill="1" applyBorder="1" applyAlignment="1">
      <alignment horizontal="center"/>
    </xf>
    <xf numFmtId="165" fontId="10" fillId="0" borderId="33" xfId="3" applyNumberFormat="1" applyFont="1" applyFill="1" applyBorder="1" applyAlignment="1">
      <alignment horizontal="center"/>
    </xf>
    <xf numFmtId="165" fontId="9" fillId="0" borderId="7" xfId="0" applyNumberFormat="1" applyFont="1" applyFill="1" applyBorder="1" applyAlignment="1"/>
    <xf numFmtId="165" fontId="6" fillId="0" borderId="7" xfId="0" applyNumberFormat="1" applyFont="1" applyFill="1" applyBorder="1" applyAlignment="1"/>
    <xf numFmtId="165" fontId="6" fillId="0" borderId="19" xfId="3" applyNumberFormat="1" applyFont="1" applyFill="1" applyBorder="1" applyAlignment="1">
      <alignment horizontal="center"/>
    </xf>
    <xf numFmtId="165" fontId="6" fillId="0" borderId="20" xfId="3" applyNumberFormat="1" applyFont="1" applyFill="1" applyBorder="1" applyAlignment="1">
      <alignment horizontal="center"/>
    </xf>
    <xf numFmtId="165" fontId="6" fillId="0" borderId="35" xfId="3" applyNumberFormat="1" applyFont="1" applyFill="1" applyBorder="1" applyAlignment="1">
      <alignment horizontal="center"/>
    </xf>
    <xf numFmtId="165" fontId="6" fillId="0" borderId="0" xfId="0" applyNumberFormat="1" applyFont="1" applyFill="1" applyAlignment="1"/>
    <xf numFmtId="165" fontId="8" fillId="0" borderId="21" xfId="0" applyNumberFormat="1" applyFont="1" applyFill="1" applyBorder="1" applyAlignment="1"/>
    <xf numFmtId="165" fontId="6" fillId="0" borderId="15" xfId="0" applyNumberFormat="1" applyFont="1" applyFill="1" applyBorder="1" applyAlignment="1"/>
    <xf numFmtId="165" fontId="8" fillId="0" borderId="15" xfId="0" applyNumberFormat="1" applyFont="1" applyFill="1" applyBorder="1" applyAlignment="1"/>
    <xf numFmtId="165" fontId="12" fillId="0" borderId="14" xfId="0" applyNumberFormat="1" applyFont="1" applyFill="1" applyBorder="1" applyAlignment="1">
      <alignment horizontal="right"/>
    </xf>
    <xf numFmtId="165" fontId="6" fillId="0" borderId="19" xfId="0" applyNumberFormat="1" applyFont="1" applyFill="1" applyBorder="1" applyAlignment="1">
      <alignment horizontal="right"/>
    </xf>
    <xf numFmtId="165" fontId="6" fillId="0" borderId="35" xfId="0" applyNumberFormat="1" applyFont="1" applyFill="1" applyBorder="1" applyAlignment="1">
      <alignment horizontal="right"/>
    </xf>
    <xf numFmtId="165" fontId="8" fillId="0" borderId="36" xfId="0" applyNumberFormat="1" applyFont="1" applyFill="1" applyBorder="1" applyAlignment="1"/>
    <xf numFmtId="165" fontId="6" fillId="0" borderId="37" xfId="0" applyNumberFormat="1" applyFont="1" applyFill="1" applyBorder="1" applyAlignment="1"/>
    <xf numFmtId="165" fontId="8" fillId="0" borderId="37" xfId="0" applyNumberFormat="1" applyFont="1" applyFill="1" applyBorder="1" applyAlignment="1"/>
    <xf numFmtId="165" fontId="11" fillId="0" borderId="37" xfId="0" applyNumberFormat="1" applyFont="1" applyFill="1" applyBorder="1" applyAlignment="1"/>
    <xf numFmtId="165" fontId="12" fillId="0" borderId="38" xfId="0" applyNumberFormat="1" applyFont="1" applyFill="1" applyBorder="1" applyAlignment="1">
      <alignment horizontal="right"/>
    </xf>
    <xf numFmtId="165" fontId="6" fillId="0" borderId="39" xfId="3" applyNumberFormat="1" applyFont="1" applyFill="1" applyBorder="1" applyAlignment="1">
      <alignment horizontal="center"/>
    </xf>
    <xf numFmtId="165" fontId="6" fillId="0" borderId="38" xfId="3" applyNumberFormat="1" applyFont="1" applyFill="1" applyBorder="1" applyAlignment="1">
      <alignment horizontal="center"/>
    </xf>
    <xf numFmtId="165" fontId="6" fillId="0" borderId="40" xfId="3" applyNumberFormat="1" applyFont="1" applyFill="1" applyBorder="1" applyAlignment="1">
      <alignment horizontal="center"/>
    </xf>
    <xf numFmtId="165" fontId="8" fillId="0" borderId="25" xfId="0" applyNumberFormat="1" applyFont="1" applyFill="1" applyBorder="1" applyAlignment="1"/>
    <xf numFmtId="165" fontId="12" fillId="0" borderId="6" xfId="0" applyNumberFormat="1" applyFont="1" applyFill="1" applyBorder="1" applyAlignment="1">
      <alignment horizontal="right"/>
    </xf>
    <xf numFmtId="165" fontId="8" fillId="0" borderId="34" xfId="3" applyNumberFormat="1" applyFont="1" applyFill="1" applyBorder="1" applyAlignment="1">
      <alignment horizontal="center"/>
    </xf>
    <xf numFmtId="165" fontId="6" fillId="0" borderId="13" xfId="0" applyNumberFormat="1" applyFont="1" applyFill="1" applyBorder="1" applyAlignment="1">
      <alignment horizontal="right"/>
    </xf>
    <xf numFmtId="165" fontId="8" fillId="0" borderId="24" xfId="4" applyNumberFormat="1" applyFont="1" applyFill="1" applyBorder="1" applyAlignment="1">
      <alignment horizontal="right"/>
    </xf>
    <xf numFmtId="165" fontId="8" fillId="0" borderId="34" xfId="0" applyNumberFormat="1" applyFont="1" applyFill="1" applyBorder="1" applyAlignment="1">
      <alignment horizontal="right"/>
    </xf>
    <xf numFmtId="165" fontId="8" fillId="0" borderId="0" xfId="0" applyNumberFormat="1" applyFont="1" applyFill="1" applyBorder="1" applyAlignment="1">
      <alignment horizontal="left"/>
    </xf>
    <xf numFmtId="165" fontId="8" fillId="0" borderId="23" xfId="4" applyNumberFormat="1" applyFont="1" applyFill="1" applyBorder="1" applyAlignment="1">
      <alignment horizontal="right"/>
    </xf>
    <xf numFmtId="165" fontId="14" fillId="0" borderId="24" xfId="0" applyNumberFormat="1" applyFont="1" applyFill="1" applyBorder="1" applyAlignment="1">
      <alignment horizontal="right"/>
    </xf>
    <xf numFmtId="165" fontId="15" fillId="0" borderId="24" xfId="0" applyNumberFormat="1" applyFont="1" applyFill="1" applyBorder="1" applyAlignment="1">
      <alignment horizontal="right"/>
    </xf>
    <xf numFmtId="165" fontId="15" fillId="0" borderId="24" xfId="4" applyNumberFormat="1" applyFont="1" applyFill="1" applyBorder="1" applyAlignment="1">
      <alignment horizontal="right"/>
    </xf>
    <xf numFmtId="165" fontId="9" fillId="0" borderId="0" xfId="0" applyNumberFormat="1" applyFont="1" applyFill="1" applyAlignment="1"/>
    <xf numFmtId="165" fontId="9" fillId="0" borderId="24" xfId="0" applyNumberFormat="1" applyFont="1" applyFill="1" applyBorder="1" applyAlignment="1">
      <alignment horizontal="right"/>
    </xf>
    <xf numFmtId="165" fontId="6" fillId="0" borderId="23"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24" xfId="4" applyNumberFormat="1" applyFont="1" applyFill="1" applyBorder="1" applyAlignment="1">
      <alignment horizontal="right"/>
    </xf>
    <xf numFmtId="165" fontId="11" fillId="0" borderId="24" xfId="4" applyNumberFormat="1" applyFont="1" applyFill="1" applyBorder="1" applyAlignment="1">
      <alignment horizontal="right"/>
    </xf>
    <xf numFmtId="165" fontId="10" fillId="0" borderId="34" xfId="0" applyNumberFormat="1" applyFont="1" applyFill="1" applyBorder="1" applyAlignment="1">
      <alignment horizontal="right"/>
    </xf>
    <xf numFmtId="165" fontId="12" fillId="0" borderId="0" xfId="0" applyNumberFormat="1" applyFont="1" applyFill="1" applyBorder="1" applyAlignment="1">
      <alignment horizontal="left" indent="1"/>
    </xf>
    <xf numFmtId="165" fontId="12" fillId="0" borderId="24" xfId="4" applyNumberFormat="1" applyFont="1" applyFill="1" applyBorder="1" applyAlignment="1">
      <alignment horizontal="right"/>
    </xf>
    <xf numFmtId="165" fontId="6" fillId="0" borderId="34" xfId="0" applyNumberFormat="1" applyFont="1" applyFill="1" applyBorder="1" applyAlignment="1">
      <alignment horizontal="right"/>
    </xf>
    <xf numFmtId="165" fontId="6" fillId="0" borderId="23" xfId="4" applyNumberFormat="1" applyFont="1" applyFill="1" applyBorder="1" applyAlignment="1">
      <alignment horizontal="right"/>
    </xf>
    <xf numFmtId="165" fontId="6" fillId="0" borderId="33" xfId="0" applyNumberFormat="1" applyFont="1" applyFill="1" applyBorder="1" applyAlignment="1">
      <alignment horizontal="right"/>
    </xf>
    <xf numFmtId="165" fontId="12" fillId="0" borderId="0" xfId="0" applyNumberFormat="1" applyFont="1" applyFill="1" applyBorder="1" applyAlignment="1">
      <alignment horizontal="right"/>
    </xf>
    <xf numFmtId="165"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8" fillId="0" borderId="23" xfId="5" applyNumberFormat="1" applyFont="1" applyFill="1" applyBorder="1" applyProtection="1"/>
    <xf numFmtId="165" fontId="10" fillId="0" borderId="23" xfId="5" applyNumberFormat="1" applyFont="1" applyFill="1" applyBorder="1" applyProtection="1"/>
    <xf numFmtId="165" fontId="8" fillId="0" borderId="23" xfId="3" applyNumberFormat="1" applyFont="1" applyFill="1" applyBorder="1" applyAlignment="1">
      <alignment horizontal="right"/>
    </xf>
    <xf numFmtId="165" fontId="12" fillId="0" borderId="0" xfId="0" applyNumberFormat="1" applyFont="1" applyFill="1" applyBorder="1" applyAlignment="1">
      <alignment horizontal="left" indent="2"/>
    </xf>
    <xf numFmtId="165" fontId="10" fillId="0" borderId="19" xfId="0" applyNumberFormat="1" applyFont="1" applyFill="1" applyBorder="1" applyAlignment="1">
      <alignment horizontal="right"/>
    </xf>
    <xf numFmtId="165" fontId="10" fillId="0" borderId="20" xfId="0" applyNumberFormat="1" applyFont="1" applyFill="1" applyBorder="1" applyAlignment="1">
      <alignment horizontal="right"/>
    </xf>
    <xf numFmtId="165" fontId="10" fillId="0" borderId="41" xfId="0" applyNumberFormat="1" applyFont="1" applyFill="1" applyBorder="1" applyAlignment="1">
      <alignment horizontal="right"/>
    </xf>
    <xf numFmtId="165" fontId="6" fillId="0" borderId="36" xfId="0" applyNumberFormat="1" applyFont="1" applyFill="1" applyBorder="1" applyAlignment="1"/>
    <xf numFmtId="165" fontId="6" fillId="0" borderId="38" xfId="0" applyNumberFormat="1" applyFont="1" applyFill="1" applyBorder="1" applyAlignment="1"/>
    <xf numFmtId="165" fontId="6" fillId="0" borderId="42" xfId="0" applyNumberFormat="1" applyFont="1" applyFill="1" applyBorder="1" applyAlignment="1"/>
    <xf numFmtId="165" fontId="6" fillId="0" borderId="29" xfId="0" applyNumberFormat="1" applyFont="1" applyFill="1" applyBorder="1" applyAlignment="1"/>
    <xf numFmtId="165" fontId="6" fillId="0" borderId="30" xfId="0" applyNumberFormat="1" applyFont="1" applyFill="1" applyBorder="1" applyAlignment="1"/>
    <xf numFmtId="165" fontId="8" fillId="0" borderId="30" xfId="0" applyNumberFormat="1" applyFont="1" applyFill="1" applyBorder="1" applyAlignment="1">
      <alignment horizontal="left"/>
    </xf>
    <xf numFmtId="165" fontId="6" fillId="0" borderId="45" xfId="0" applyNumberFormat="1" applyFont="1" applyFill="1" applyBorder="1" applyAlignment="1"/>
    <xf numFmtId="165" fontId="6" fillId="0" borderId="31" xfId="0" applyNumberFormat="1" applyFont="1" applyFill="1" applyBorder="1" applyAlignment="1"/>
    <xf numFmtId="165" fontId="6" fillId="0" borderId="46" xfId="0" applyNumberFormat="1" applyFont="1" applyFill="1" applyBorder="1" applyAlignment="1"/>
    <xf numFmtId="165" fontId="6" fillId="0" borderId="0" xfId="3" applyNumberFormat="1" applyFont="1" applyFill="1" applyBorder="1" applyAlignment="1"/>
    <xf numFmtId="165" fontId="6" fillId="0" borderId="7" xfId="0" applyNumberFormat="1" applyFont="1" applyFill="1" applyBorder="1" applyAlignment="1">
      <alignment horizontal="left"/>
    </xf>
    <xf numFmtId="165" fontId="6" fillId="0" borderId="0" xfId="0" applyNumberFormat="1" applyFont="1" applyFill="1" applyBorder="1" applyAlignment="1">
      <alignment horizontal="left"/>
    </xf>
    <xf numFmtId="165" fontId="6" fillId="0" borderId="24" xfId="0" applyNumberFormat="1" applyFont="1" applyFill="1" applyBorder="1" applyAlignment="1">
      <alignment horizontal="left"/>
    </xf>
    <xf numFmtId="165" fontId="6" fillId="0" borderId="12" xfId="0" applyNumberFormat="1" applyFont="1" applyFill="1" applyBorder="1" applyAlignment="1"/>
    <xf numFmtId="165" fontId="6" fillId="0" borderId="33" xfId="0" applyNumberFormat="1" applyFont="1" applyFill="1" applyBorder="1" applyAlignment="1"/>
    <xf numFmtId="165" fontId="8" fillId="0" borderId="7" xfId="0" applyNumberFormat="1" applyFont="1" applyFill="1" applyBorder="1" applyAlignment="1">
      <alignment horizontal="left" indent="1"/>
    </xf>
    <xf numFmtId="165" fontId="8" fillId="0" borderId="0" xfId="0" applyNumberFormat="1" applyFont="1" applyFill="1" applyBorder="1" applyAlignment="1">
      <alignment horizontal="left" indent="1"/>
    </xf>
    <xf numFmtId="165" fontId="8" fillId="0" borderId="24" xfId="0" applyNumberFormat="1" applyFont="1" applyFill="1" applyBorder="1" applyAlignment="1"/>
    <xf numFmtId="165" fontId="8" fillId="0" borderId="34" xfId="0" applyNumberFormat="1" applyFont="1" applyFill="1" applyBorder="1" applyAlignment="1"/>
    <xf numFmtId="165" fontId="9" fillId="0" borderId="23" xfId="0" applyNumberFormat="1" applyFont="1" applyFill="1" applyBorder="1" applyAlignment="1">
      <alignment horizontal="right"/>
    </xf>
    <xf numFmtId="165" fontId="6" fillId="0" borderId="24" xfId="0" applyNumberFormat="1" applyFont="1" applyFill="1" applyBorder="1" applyAlignment="1"/>
    <xf numFmtId="165" fontId="6" fillId="0" borderId="34" xfId="0" applyNumberFormat="1" applyFont="1" applyFill="1" applyBorder="1" applyAlignment="1"/>
    <xf numFmtId="165" fontId="8" fillId="0" borderId="0" xfId="0" applyNumberFormat="1" applyFont="1"/>
    <xf numFmtId="165" fontId="8" fillId="0" borderId="0" xfId="0" applyNumberFormat="1" applyFont="1" applyFill="1" applyAlignment="1">
      <alignment horizontal="left"/>
    </xf>
    <xf numFmtId="165" fontId="6" fillId="0" borderId="47" xfId="0" applyNumberFormat="1" applyFont="1" applyFill="1" applyBorder="1" applyAlignment="1"/>
    <xf numFmtId="165" fontId="8" fillId="0" borderId="16" xfId="0" applyNumberFormat="1" applyFont="1" applyFill="1" applyBorder="1" applyAlignment="1"/>
    <xf numFmtId="165" fontId="8" fillId="0" borderId="17" xfId="0" applyNumberFormat="1" applyFont="1" applyFill="1" applyBorder="1" applyAlignment="1"/>
    <xf numFmtId="165" fontId="8" fillId="0" borderId="19" xfId="0" applyNumberFormat="1" applyFont="1" applyFill="1" applyBorder="1" applyAlignment="1">
      <alignment horizontal="right"/>
    </xf>
    <xf numFmtId="165" fontId="8" fillId="0" borderId="20" xfId="0" applyNumberFormat="1" applyFont="1" applyFill="1" applyBorder="1" applyAlignment="1">
      <alignment horizontal="right"/>
    </xf>
    <xf numFmtId="165" fontId="8" fillId="0" borderId="35" xfId="0" applyNumberFormat="1" applyFont="1" applyFill="1" applyBorder="1" applyAlignment="1">
      <alignment horizontal="right"/>
    </xf>
    <xf numFmtId="165" fontId="8" fillId="0" borderId="23" xfId="0" applyNumberFormat="1" applyFont="1" applyFill="1" applyBorder="1" applyAlignment="1"/>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165" fontId="10" fillId="0" borderId="0" xfId="0" applyNumberFormat="1" applyFont="1" applyFill="1" applyAlignment="1">
      <alignment horizontal="left" vertical="center"/>
    </xf>
    <xf numFmtId="0" fontId="5" fillId="0" borderId="0" xfId="0" applyFont="1"/>
    <xf numFmtId="0" fontId="6" fillId="0" borderId="6" xfId="0" applyFont="1" applyBorder="1"/>
    <xf numFmtId="0" fontId="8" fillId="0" borderId="6" xfId="0" applyFont="1" applyBorder="1"/>
    <xf numFmtId="0" fontId="6" fillId="0" borderId="0" xfId="0" applyFont="1"/>
    <xf numFmtId="3" fontId="8" fillId="0" borderId="6" xfId="0" applyNumberFormat="1" applyFont="1" applyBorder="1"/>
    <xf numFmtId="0" fontId="8" fillId="0" borderId="0" xfId="0" applyFont="1"/>
    <xf numFmtId="165" fontId="8" fillId="0" borderId="0" xfId="1" applyNumberFormat="1" applyFont="1" applyFill="1" applyAlignment="1"/>
    <xf numFmtId="164" fontId="8" fillId="0" borderId="0" xfId="1" applyFont="1" applyFill="1" applyAlignment="1"/>
    <xf numFmtId="0" fontId="6" fillId="0" borderId="29" xfId="0" applyFont="1" applyBorder="1"/>
    <xf numFmtId="0" fontId="6" fillId="0" borderId="31" xfId="0" applyFont="1" applyBorder="1" applyAlignment="1">
      <alignment horizontal="right"/>
    </xf>
    <xf numFmtId="0" fontId="6" fillId="0" borderId="7" xfId="0" applyFont="1" applyBorder="1" applyAlignment="1">
      <alignment horizontal="center"/>
    </xf>
    <xf numFmtId="164" fontId="8" fillId="0" borderId="0" xfId="1" applyFont="1" applyFill="1" applyBorder="1" applyAlignment="1"/>
    <xf numFmtId="0" fontId="6" fillId="0" borderId="7" xfId="0" applyFont="1" applyBorder="1"/>
    <xf numFmtId="0" fontId="6" fillId="0" borderId="24" xfId="0" applyFont="1" applyBorder="1" applyAlignment="1">
      <alignment horizontal="right"/>
    </xf>
    <xf numFmtId="0" fontId="8" fillId="0" borderId="7" xfId="0" applyFont="1" applyBorder="1"/>
    <xf numFmtId="0" fontId="6" fillId="0" borderId="12" xfId="0" applyFont="1" applyBorder="1" applyAlignment="1">
      <alignment horizontal="right"/>
    </xf>
    <xf numFmtId="0" fontId="6" fillId="0" borderId="0" xfId="0" applyFont="1" applyAlignment="1">
      <alignment horizontal="right"/>
    </xf>
    <xf numFmtId="0" fontId="6" fillId="0" borderId="13" xfId="0" applyFont="1" applyBorder="1" applyAlignment="1">
      <alignment horizontal="right"/>
    </xf>
    <xf numFmtId="3" fontId="6" fillId="0" borderId="13" xfId="0" applyNumberFormat="1" applyFont="1" applyBorder="1" applyAlignment="1">
      <alignment horizontal="right"/>
    </xf>
    <xf numFmtId="3" fontId="6" fillId="0" borderId="22" xfId="0" applyNumberFormat="1" applyFont="1" applyBorder="1" applyAlignment="1">
      <alignment horizontal="right"/>
    </xf>
    <xf numFmtId="0" fontId="15" fillId="0" borderId="16" xfId="0" applyFont="1" applyBorder="1"/>
    <xf numFmtId="0" fontId="6" fillId="0" borderId="17" xfId="0" applyFont="1" applyBorder="1"/>
    <xf numFmtId="0" fontId="6" fillId="0" borderId="20" xfId="0" applyFont="1" applyBorder="1" applyAlignment="1">
      <alignment horizontal="right"/>
    </xf>
    <xf numFmtId="0" fontId="6" fillId="0" borderId="18" xfId="0" applyFont="1" applyBorder="1" applyAlignment="1">
      <alignment horizontal="right"/>
    </xf>
    <xf numFmtId="0" fontId="6" fillId="0" borderId="17" xfId="0" applyFont="1" applyBorder="1" applyAlignment="1">
      <alignment horizontal="right"/>
    </xf>
    <xf numFmtId="0" fontId="6" fillId="0" borderId="19" xfId="0" applyFont="1" applyBorder="1" applyAlignment="1">
      <alignment horizontal="right"/>
    </xf>
    <xf numFmtId="2" fontId="8" fillId="0" borderId="7" xfId="0" applyNumberFormat="1" applyFont="1" applyBorder="1"/>
    <xf numFmtId="0" fontId="15" fillId="0" borderId="7" xfId="0" applyFont="1" applyBorder="1"/>
    <xf numFmtId="0" fontId="6" fillId="0" borderId="22" xfId="0" applyFont="1" applyBorder="1" applyAlignment="1">
      <alignment horizontal="right"/>
    </xf>
    <xf numFmtId="0" fontId="6" fillId="0" borderId="23" xfId="0" applyFont="1" applyBorder="1" applyAlignment="1">
      <alignment horizontal="right"/>
    </xf>
    <xf numFmtId="0" fontId="11" fillId="0" borderId="7" xfId="0" applyFont="1" applyBorder="1" applyAlignment="1">
      <alignment horizontal="left"/>
    </xf>
    <xf numFmtId="37" fontId="11" fillId="0" borderId="0" xfId="0" applyNumberFormat="1" applyFont="1"/>
    <xf numFmtId="37" fontId="11" fillId="0" borderId="0" xfId="0" applyNumberFormat="1" applyFont="1" applyAlignment="1">
      <alignment horizontal="right"/>
    </xf>
    <xf numFmtId="165" fontId="8" fillId="0" borderId="12" xfId="1" applyNumberFormat="1" applyFont="1" applyFill="1" applyBorder="1" applyAlignment="1">
      <alignment horizontal="center"/>
    </xf>
    <xf numFmtId="165" fontId="8" fillId="0" borderId="0" xfId="1" applyNumberFormat="1" applyFont="1" applyFill="1" applyBorder="1" applyAlignment="1">
      <alignment horizontal="center"/>
    </xf>
    <xf numFmtId="165" fontId="8" fillId="0" borderId="23" xfId="0" applyNumberFormat="1" applyFont="1" applyBorder="1" applyAlignment="1">
      <alignment horizontal="right"/>
    </xf>
    <xf numFmtId="165" fontId="8" fillId="0" borderId="12" xfId="0" applyNumberFormat="1" applyFont="1" applyBorder="1" applyAlignment="1">
      <alignment horizontal="right"/>
    </xf>
    <xf numFmtId="165" fontId="8" fillId="0" borderId="0" xfId="0" applyNumberFormat="1" applyFont="1" applyAlignment="1">
      <alignment horizontal="right"/>
    </xf>
    <xf numFmtId="165" fontId="8" fillId="0" borderId="7" xfId="1" applyNumberFormat="1" applyFont="1" applyFill="1" applyBorder="1" applyAlignment="1"/>
    <xf numFmtId="166" fontId="8" fillId="0" borderId="7" xfId="0" applyNumberFormat="1" applyFont="1" applyBorder="1"/>
    <xf numFmtId="167" fontId="18" fillId="0" borderId="34" xfId="6" applyNumberFormat="1" applyFont="1" applyFill="1" applyBorder="1"/>
    <xf numFmtId="37" fontId="12" fillId="0" borderId="0" xfId="0" quotePrefix="1" applyNumberFormat="1" applyFont="1" applyAlignment="1">
      <alignment horizontal="right"/>
    </xf>
    <xf numFmtId="165" fontId="8" fillId="0" borderId="7" xfId="0" applyNumberFormat="1" applyFont="1" applyBorder="1"/>
    <xf numFmtId="0" fontId="10" fillId="0" borderId="0" xfId="0" quotePrefix="1" applyFont="1" applyAlignment="1">
      <alignment horizontal="right"/>
    </xf>
    <xf numFmtId="0" fontId="11" fillId="0" borderId="0" xfId="0" applyFont="1"/>
    <xf numFmtId="0" fontId="8" fillId="0" borderId="7" xfId="0" applyFont="1" applyBorder="1" applyAlignment="1">
      <alignment horizontal="left"/>
    </xf>
    <xf numFmtId="37" fontId="8" fillId="0" borderId="0" xfId="0" applyNumberFormat="1" applyFont="1"/>
    <xf numFmtId="37" fontId="10" fillId="0" borderId="0" xfId="0" quotePrefix="1" applyNumberFormat="1" applyFont="1" applyAlignment="1">
      <alignment horizontal="right"/>
    </xf>
    <xf numFmtId="164" fontId="8" fillId="2" borderId="0" xfId="1" applyFont="1" applyFill="1" applyAlignment="1"/>
    <xf numFmtId="167" fontId="3" fillId="0" borderId="34" xfId="6" applyNumberFormat="1" applyFont="1" applyFill="1" applyBorder="1"/>
    <xf numFmtId="37" fontId="8" fillId="0" borderId="0" xfId="0" applyNumberFormat="1" applyFont="1" applyAlignment="1">
      <alignment horizontal="left"/>
    </xf>
    <xf numFmtId="37" fontId="10" fillId="0" borderId="0" xfId="0" applyNumberFormat="1" applyFont="1" applyAlignment="1">
      <alignment horizontal="right"/>
    </xf>
    <xf numFmtId="0" fontId="11" fillId="0" borderId="0" xfId="0" applyFont="1" applyAlignment="1">
      <alignment horizontal="right"/>
    </xf>
    <xf numFmtId="37" fontId="8" fillId="0" borderId="0" xfId="0" applyNumberFormat="1" applyFont="1" applyAlignment="1">
      <alignment horizontal="right"/>
    </xf>
    <xf numFmtId="0" fontId="11" fillId="0" borderId="16" xfId="0" applyFont="1" applyBorder="1" applyAlignment="1">
      <alignment horizontal="left"/>
    </xf>
    <xf numFmtId="37" fontId="11" fillId="0" borderId="17" xfId="0" applyNumberFormat="1" applyFont="1" applyBorder="1"/>
    <xf numFmtId="0" fontId="8" fillId="0" borderId="17" xfId="0" applyFont="1" applyBorder="1"/>
    <xf numFmtId="37" fontId="11" fillId="0" borderId="20" xfId="0" applyNumberFormat="1" applyFont="1" applyBorder="1" applyAlignment="1">
      <alignment horizontal="right"/>
    </xf>
    <xf numFmtId="167" fontId="18" fillId="0" borderId="53" xfId="6" applyNumberFormat="1" applyFont="1" applyFill="1" applyBorder="1"/>
    <xf numFmtId="37" fontId="12" fillId="0" borderId="24" xfId="0" quotePrefix="1" applyNumberFormat="1" applyFont="1" applyBorder="1" applyAlignment="1">
      <alignment horizontal="right"/>
    </xf>
    <xf numFmtId="165" fontId="6" fillId="0" borderId="22" xfId="0" applyNumberFormat="1" applyFont="1" applyBorder="1" applyAlignment="1">
      <alignment horizontal="right"/>
    </xf>
    <xf numFmtId="165" fontId="6" fillId="0" borderId="15" xfId="0" applyNumberFormat="1" applyFont="1" applyBorder="1" applyAlignment="1">
      <alignment horizontal="right"/>
    </xf>
    <xf numFmtId="165" fontId="6" fillId="0" borderId="13" xfId="0" applyNumberFormat="1" applyFont="1" applyBorder="1" applyAlignment="1">
      <alignment horizontal="right"/>
    </xf>
    <xf numFmtId="164" fontId="8" fillId="0" borderId="0" xfId="1" applyFont="1" applyFill="1" applyBorder="1" applyAlignment="1">
      <alignment horizontal="right"/>
    </xf>
    <xf numFmtId="0" fontId="11" fillId="0" borderId="7" xfId="0" applyFont="1" applyBorder="1"/>
    <xf numFmtId="165" fontId="6" fillId="0" borderId="12" xfId="0" applyNumberFormat="1" applyFont="1" applyBorder="1" applyAlignment="1">
      <alignment horizontal="right"/>
    </xf>
    <xf numFmtId="165" fontId="6" fillId="0" borderId="0" xfId="0" applyNumberFormat="1" applyFont="1" applyAlignment="1">
      <alignment horizontal="right"/>
    </xf>
    <xf numFmtId="165" fontId="6" fillId="0" borderId="23" xfId="0" applyNumberFormat="1" applyFont="1" applyBorder="1" applyAlignment="1">
      <alignment horizontal="right"/>
    </xf>
    <xf numFmtId="165" fontId="8" fillId="0" borderId="0" xfId="1" applyNumberFormat="1" applyFont="1" applyFill="1" applyBorder="1" applyAlignment="1"/>
    <xf numFmtId="37" fontId="11" fillId="0" borderId="24" xfId="0" applyNumberFormat="1" applyFont="1" applyBorder="1" applyAlignment="1">
      <alignment horizontal="right"/>
    </xf>
    <xf numFmtId="165" fontId="6" fillId="0" borderId="12" xfId="1" applyNumberFormat="1" applyFont="1" applyFill="1" applyBorder="1" applyAlignment="1">
      <alignment horizontal="center"/>
    </xf>
    <xf numFmtId="41" fontId="6" fillId="0" borderId="7" xfId="1" applyNumberFormat="1" applyFont="1" applyFill="1" applyBorder="1" applyAlignment="1">
      <alignment horizontal="center"/>
    </xf>
    <xf numFmtId="0" fontId="11" fillId="0" borderId="0" xfId="0" applyFont="1" applyAlignment="1">
      <alignment horizontal="left"/>
    </xf>
    <xf numFmtId="43" fontId="8" fillId="0" borderId="0" xfId="0" applyNumberFormat="1" applyFont="1"/>
    <xf numFmtId="164" fontId="8" fillId="0" borderId="0" xfId="0" applyNumberFormat="1" applyFont="1"/>
    <xf numFmtId="37" fontId="12" fillId="0" borderId="24" xfId="0" applyNumberFormat="1" applyFont="1" applyBorder="1" applyAlignment="1">
      <alignment horizontal="right"/>
    </xf>
    <xf numFmtId="0" fontId="12" fillId="0" borderId="7" xfId="0" applyFont="1" applyBorder="1" applyAlignment="1">
      <alignment horizontal="left" indent="1"/>
    </xf>
    <xf numFmtId="0" fontId="10" fillId="0" borderId="0" xfId="0" applyFont="1"/>
    <xf numFmtId="165" fontId="10" fillId="0" borderId="23" xfId="0" applyNumberFormat="1" applyFont="1" applyBorder="1" applyAlignment="1">
      <alignment horizontal="right"/>
    </xf>
    <xf numFmtId="165" fontId="10" fillId="0" borderId="12" xfId="1" applyNumberFormat="1" applyFont="1" applyFill="1" applyBorder="1" applyAlignment="1">
      <alignment horizontal="center"/>
    </xf>
    <xf numFmtId="165" fontId="10" fillId="0" borderId="0" xfId="7" applyNumberFormat="1" applyFont="1" applyFill="1" applyBorder="1" applyAlignment="1">
      <alignment horizontal="center"/>
    </xf>
    <xf numFmtId="165" fontId="10" fillId="0" borderId="7" xfId="0" applyNumberFormat="1" applyFont="1" applyBorder="1"/>
    <xf numFmtId="0" fontId="11" fillId="0" borderId="7" xfId="0" applyFont="1" applyBorder="1" applyAlignment="1">
      <alignment horizontal="left" indent="1"/>
    </xf>
    <xf numFmtId="0" fontId="8" fillId="0" borderId="0" xfId="0" applyFont="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165" fontId="6" fillId="0" borderId="39" xfId="0" applyNumberFormat="1" applyFont="1" applyBorder="1" applyAlignment="1">
      <alignment horizontal="right"/>
    </xf>
    <xf numFmtId="165" fontId="6" fillId="0" borderId="54" xfId="0" applyNumberFormat="1" applyFont="1" applyBorder="1" applyAlignment="1">
      <alignment horizontal="right"/>
    </xf>
    <xf numFmtId="165" fontId="6" fillId="0" borderId="37" xfId="0" applyNumberFormat="1" applyFont="1" applyBorder="1" applyAlignment="1">
      <alignment horizontal="right"/>
    </xf>
    <xf numFmtId="165" fontId="6" fillId="0" borderId="38" xfId="0" applyNumberFormat="1" applyFont="1" applyBorder="1" applyAlignment="1">
      <alignment horizontal="right"/>
    </xf>
    <xf numFmtId="165" fontId="6" fillId="0" borderId="40" xfId="0" applyNumberFormat="1" applyFont="1" applyBorder="1" applyAlignment="1">
      <alignment horizontal="right"/>
    </xf>
    <xf numFmtId="165" fontId="6" fillId="0" borderId="0" xfId="0" applyNumberFormat="1" applyFont="1"/>
    <xf numFmtId="0" fontId="15" fillId="0" borderId="43" xfId="0" applyFont="1" applyBorder="1"/>
    <xf numFmtId="37" fontId="11" fillId="0" borderId="44" xfId="0" applyNumberFormat="1" applyFont="1" applyBorder="1"/>
    <xf numFmtId="0" fontId="8" fillId="0" borderId="44" xfId="0" applyFont="1" applyBorder="1"/>
    <xf numFmtId="37" fontId="11" fillId="0" borderId="55" xfId="0" applyNumberFormat="1" applyFont="1" applyBorder="1" applyAlignment="1">
      <alignment horizontal="right"/>
    </xf>
    <xf numFmtId="165" fontId="6" fillId="0" borderId="44" xfId="0" applyNumberFormat="1" applyFont="1" applyBorder="1" applyAlignment="1">
      <alignment horizontal="right"/>
    </xf>
    <xf numFmtId="165" fontId="6" fillId="0" borderId="27" xfId="0" applyNumberFormat="1" applyFont="1" applyBorder="1" applyAlignment="1">
      <alignment horizontal="right"/>
    </xf>
    <xf numFmtId="165" fontId="6" fillId="0" borderId="6" xfId="0" applyNumberFormat="1" applyFont="1" applyBorder="1" applyAlignment="1">
      <alignment horizontal="right"/>
    </xf>
    <xf numFmtId="165" fontId="6" fillId="0" borderId="56" xfId="0" applyNumberFormat="1" applyFont="1" applyBorder="1" applyAlignment="1">
      <alignment horizontal="right"/>
    </xf>
    <xf numFmtId="165" fontId="6" fillId="0" borderId="57" xfId="0" applyNumberFormat="1" applyFont="1" applyBorder="1" applyAlignment="1">
      <alignment horizontal="right"/>
    </xf>
    <xf numFmtId="165" fontId="8" fillId="0" borderId="45" xfId="0" applyNumberFormat="1" applyFont="1" applyBorder="1" applyAlignment="1">
      <alignment horizontal="right"/>
    </xf>
    <xf numFmtId="165" fontId="8" fillId="0" borderId="58" xfId="0" applyNumberFormat="1" applyFont="1" applyBorder="1" applyAlignment="1">
      <alignment horizontal="right"/>
    </xf>
    <xf numFmtId="165" fontId="8" fillId="0" borderId="33" xfId="0" applyNumberFormat="1" applyFont="1" applyBorder="1" applyAlignment="1">
      <alignment horizontal="right"/>
    </xf>
    <xf numFmtId="0" fontId="15" fillId="0" borderId="36" xfId="0" applyFont="1" applyBorder="1"/>
    <xf numFmtId="37" fontId="11" fillId="0" borderId="37" xfId="0" applyNumberFormat="1" applyFont="1" applyBorder="1"/>
    <xf numFmtId="0" fontId="8" fillId="0" borderId="37" xfId="0" applyFont="1" applyBorder="1"/>
    <xf numFmtId="37" fontId="12" fillId="0" borderId="38" xfId="0" quotePrefix="1" applyNumberFormat="1" applyFont="1" applyBorder="1" applyAlignment="1">
      <alignment horizontal="right"/>
    </xf>
    <xf numFmtId="41" fontId="6" fillId="0" borderId="0" xfId="0" applyNumberFormat="1" applyFont="1" applyAlignment="1">
      <alignment horizontal="right"/>
    </xf>
    <xf numFmtId="0" fontId="12" fillId="0" borderId="0" xfId="0" applyFont="1"/>
    <xf numFmtId="165" fontId="12" fillId="0" borderId="0" xfId="0" applyNumberFormat="1" applyFont="1"/>
    <xf numFmtId="165" fontId="11" fillId="0" borderId="0" xfId="1" applyNumberFormat="1" applyFont="1" applyFill="1" applyBorder="1" applyAlignment="1"/>
    <xf numFmtId="0" fontId="8" fillId="0" borderId="0" xfId="0" applyFont="1" applyAlignment="1">
      <alignment horizontal="center"/>
    </xf>
    <xf numFmtId="2" fontId="6" fillId="0" borderId="7" xfId="0" applyNumberFormat="1" applyFont="1" applyBorder="1"/>
    <xf numFmtId="0" fontId="11" fillId="0" borderId="17" xfId="0" applyFont="1" applyBorder="1"/>
    <xf numFmtId="165" fontId="8" fillId="0" borderId="17" xfId="0" applyNumberFormat="1" applyFont="1" applyBorder="1" applyAlignment="1">
      <alignment horizontal="right"/>
    </xf>
    <xf numFmtId="0" fontId="15" fillId="0" borderId="21" xfId="0" applyFont="1" applyBorder="1"/>
    <xf numFmtId="166" fontId="10" fillId="0" borderId="7" xfId="0" applyNumberFormat="1" applyFont="1" applyBorder="1"/>
    <xf numFmtId="165" fontId="6" fillId="0" borderId="32" xfId="0" applyNumberFormat="1" applyFont="1" applyBorder="1" applyAlignment="1">
      <alignment horizontal="right"/>
    </xf>
    <xf numFmtId="37" fontId="11" fillId="0" borderId="37" xfId="0" applyNumberFormat="1" applyFont="1" applyBorder="1" applyAlignment="1">
      <alignment horizontal="right"/>
    </xf>
    <xf numFmtId="165" fontId="6" fillId="0" borderId="54" xfId="1" applyNumberFormat="1" applyFont="1" applyFill="1" applyBorder="1" applyAlignment="1">
      <alignment horizontal="center"/>
    </xf>
    <xf numFmtId="165" fontId="6" fillId="0" borderId="37" xfId="1" applyNumberFormat="1" applyFont="1" applyFill="1" applyBorder="1" applyAlignment="1">
      <alignment horizontal="center"/>
    </xf>
    <xf numFmtId="165" fontId="6" fillId="0" borderId="39" xfId="1" applyNumberFormat="1" applyFont="1" applyFill="1" applyBorder="1" applyAlignment="1">
      <alignment horizontal="center"/>
    </xf>
    <xf numFmtId="165" fontId="6" fillId="0" borderId="40" xfId="1" applyNumberFormat="1" applyFont="1" applyFill="1" applyBorder="1" applyAlignment="1">
      <alignment horizontal="center"/>
    </xf>
    <xf numFmtId="165" fontId="8" fillId="0" borderId="24" xfId="0" applyNumberFormat="1" applyFont="1" applyBorder="1" applyAlignment="1">
      <alignment horizontal="right"/>
    </xf>
    <xf numFmtId="165" fontId="8" fillId="0" borderId="19" xfId="0" applyNumberFormat="1" applyFont="1" applyBorder="1" applyAlignment="1">
      <alignment horizontal="right"/>
    </xf>
    <xf numFmtId="0" fontId="10" fillId="0" borderId="0" xfId="0" quotePrefix="1" applyFont="1"/>
    <xf numFmtId="37" fontId="12" fillId="0" borderId="30" xfId="0" applyNumberFormat="1" applyFont="1" applyBorder="1"/>
    <xf numFmtId="165" fontId="8" fillId="0" borderId="0" xfId="7" applyNumberFormat="1" applyFont="1" applyFill="1" applyBorder="1" applyAlignment="1"/>
    <xf numFmtId="37" fontId="12" fillId="0" borderId="0" xfId="0" applyNumberFormat="1" applyFont="1"/>
    <xf numFmtId="165" fontId="11" fillId="0" borderId="0" xfId="7" applyNumberFormat="1" applyFont="1" applyFill="1" applyBorder="1" applyAlignment="1"/>
    <xf numFmtId="165" fontId="8" fillId="0" borderId="0" xfId="0" applyNumberFormat="1" applyFont="1" applyFill="1" applyBorder="1"/>
    <xf numFmtId="165" fontId="6" fillId="0" borderId="0" xfId="0" applyNumberFormat="1" applyFont="1" applyFill="1" applyBorder="1"/>
    <xf numFmtId="165" fontId="5" fillId="0" borderId="0" xfId="0" applyNumberFormat="1" applyFont="1" applyFill="1" applyBorder="1"/>
    <xf numFmtId="165" fontId="8" fillId="0" borderId="6" xfId="0" applyNumberFormat="1" applyFont="1" applyFill="1" applyBorder="1"/>
    <xf numFmtId="165" fontId="8" fillId="0" borderId="29" xfId="0" applyNumberFormat="1" applyFont="1" applyFill="1" applyBorder="1"/>
    <xf numFmtId="165" fontId="8" fillId="0" borderId="45" xfId="0" applyNumberFormat="1" applyFont="1" applyFill="1" applyBorder="1"/>
    <xf numFmtId="165" fontId="8" fillId="0" borderId="9" xfId="0" applyNumberFormat="1" applyFont="1" applyFill="1" applyBorder="1"/>
    <xf numFmtId="165" fontId="8" fillId="0" borderId="10" xfId="0" applyNumberFormat="1" applyFont="1" applyFill="1" applyBorder="1"/>
    <xf numFmtId="165" fontId="6" fillId="0" borderId="10" xfId="0" applyNumberFormat="1" applyFont="1" applyFill="1" applyBorder="1" applyAlignment="1">
      <alignment horizontal="center"/>
    </xf>
    <xf numFmtId="165" fontId="6" fillId="0" borderId="10" xfId="0" quotePrefix="1" applyNumberFormat="1" applyFont="1" applyFill="1" applyBorder="1" applyAlignment="1">
      <alignment horizontal="center"/>
    </xf>
    <xf numFmtId="165" fontId="8" fillId="0" borderId="7" xfId="0" applyNumberFormat="1" applyFont="1" applyFill="1" applyBorder="1"/>
    <xf numFmtId="165" fontId="6" fillId="0" borderId="16" xfId="0" applyNumberFormat="1" applyFont="1" applyFill="1" applyBorder="1" applyAlignment="1">
      <alignment horizontal="left"/>
    </xf>
    <xf numFmtId="165" fontId="6" fillId="0" borderId="17" xfId="0" applyNumberFormat="1" applyFont="1" applyFill="1" applyBorder="1" applyAlignment="1">
      <alignment horizontal="center"/>
    </xf>
    <xf numFmtId="165" fontId="6" fillId="0" borderId="18" xfId="0" applyNumberFormat="1" applyFont="1" applyFill="1" applyBorder="1" applyAlignment="1">
      <alignment horizontal="right"/>
    </xf>
    <xf numFmtId="165" fontId="6" fillId="0" borderId="17" xfId="0" applyNumberFormat="1" applyFont="1" applyFill="1" applyBorder="1" applyAlignment="1">
      <alignment horizontal="right"/>
    </xf>
    <xf numFmtId="165" fontId="8" fillId="0" borderId="23" xfId="0" applyNumberFormat="1" applyFont="1" applyFill="1" applyBorder="1" applyAlignment="1">
      <alignment horizontal="center"/>
    </xf>
    <xf numFmtId="165" fontId="8" fillId="0" borderId="12" xfId="0" applyNumberFormat="1" applyFont="1" applyFill="1" applyBorder="1"/>
    <xf numFmtId="165" fontId="6" fillId="0" borderId="7" xfId="0" applyNumberFormat="1" applyFont="1" applyFill="1" applyBorder="1"/>
    <xf numFmtId="165" fontId="6" fillId="0" borderId="23" xfId="0" applyNumberFormat="1" applyFont="1" applyFill="1" applyBorder="1" applyAlignment="1">
      <alignment horizontal="center"/>
    </xf>
    <xf numFmtId="165" fontId="6" fillId="0" borderId="12" xfId="0" applyNumberFormat="1" applyFont="1" applyFill="1" applyBorder="1"/>
    <xf numFmtId="165" fontId="6" fillId="0" borderId="0" xfId="1" applyNumberFormat="1" applyFont="1" applyFill="1" applyBorder="1"/>
    <xf numFmtId="165" fontId="6" fillId="0" borderId="12" xfId="1" applyNumberFormat="1" applyFont="1" applyFill="1" applyBorder="1"/>
    <xf numFmtId="165" fontId="6" fillId="0" borderId="0" xfId="8" applyNumberFormat="1" applyFont="1" applyFill="1" applyBorder="1"/>
    <xf numFmtId="165" fontId="6" fillId="0" borderId="0" xfId="0" applyNumberFormat="1" applyFont="1" applyFill="1"/>
    <xf numFmtId="165" fontId="8" fillId="0" borderId="22" xfId="0" applyNumberFormat="1" applyFont="1" applyFill="1" applyBorder="1"/>
    <xf numFmtId="165" fontId="8" fillId="0" borderId="15" xfId="0" applyNumberFormat="1" applyFont="1" applyFill="1" applyBorder="1"/>
    <xf numFmtId="165" fontId="8" fillId="0" borderId="14" xfId="0" applyNumberFormat="1" applyFont="1" applyFill="1" applyBorder="1"/>
    <xf numFmtId="165" fontId="8" fillId="0" borderId="15" xfId="1" applyNumberFormat="1" applyFont="1" applyFill="1" applyBorder="1"/>
    <xf numFmtId="165" fontId="8" fillId="0" borderId="50" xfId="1" applyNumberFormat="1" applyFont="1" applyFill="1" applyBorder="1"/>
    <xf numFmtId="165" fontId="8" fillId="0" borderId="15" xfId="8" applyNumberFormat="1" applyFont="1" applyFill="1" applyBorder="1"/>
    <xf numFmtId="165" fontId="8" fillId="0" borderId="13" xfId="8" applyNumberFormat="1" applyFont="1" applyFill="1" applyBorder="1"/>
    <xf numFmtId="165" fontId="8" fillId="0" borderId="24" xfId="0" applyNumberFormat="1" applyFont="1" applyFill="1" applyBorder="1"/>
    <xf numFmtId="165" fontId="8" fillId="0" borderId="13" xfId="0" applyNumberFormat="1" applyFont="1" applyFill="1" applyBorder="1"/>
    <xf numFmtId="165" fontId="8" fillId="0" borderId="23" xfId="0" applyNumberFormat="1" applyFont="1" applyFill="1" applyBorder="1"/>
    <xf numFmtId="165" fontId="8" fillId="0" borderId="23" xfId="8" applyNumberFormat="1" applyFont="1" applyFill="1" applyBorder="1"/>
    <xf numFmtId="165" fontId="8" fillId="0" borderId="19" xfId="8" applyNumberFormat="1" applyFont="1" applyFill="1" applyBorder="1"/>
    <xf numFmtId="165" fontId="8" fillId="0" borderId="19" xfId="0" applyNumberFormat="1" applyFont="1" applyFill="1" applyBorder="1"/>
    <xf numFmtId="165" fontId="8" fillId="0" borderId="0" xfId="8" applyNumberFormat="1" applyFont="1" applyFill="1" applyBorder="1"/>
    <xf numFmtId="165" fontId="8" fillId="0" borderId="7" xfId="0" applyNumberFormat="1" applyFont="1" applyFill="1" applyBorder="1" applyAlignment="1">
      <alignment horizontal="left"/>
    </xf>
    <xf numFmtId="165" fontId="8" fillId="0" borderId="18" xfId="0" applyNumberFormat="1" applyFont="1" applyFill="1" applyBorder="1"/>
    <xf numFmtId="165" fontId="8" fillId="0" borderId="17" xfId="8" applyNumberFormat="1" applyFont="1" applyFill="1" applyBorder="1"/>
    <xf numFmtId="165" fontId="8" fillId="0" borderId="20" xfId="0" applyNumberFormat="1" applyFont="1" applyFill="1" applyBorder="1"/>
    <xf numFmtId="165" fontId="8" fillId="0" borderId="17" xfId="0" applyNumberFormat="1" applyFont="1" applyFill="1" applyBorder="1"/>
    <xf numFmtId="165" fontId="8" fillId="0" borderId="12" xfId="0" applyNumberFormat="1" applyFont="1" applyFill="1" applyBorder="1" applyAlignment="1">
      <alignment horizontal="center"/>
    </xf>
    <xf numFmtId="165" fontId="8" fillId="0" borderId="0" xfId="0" applyNumberFormat="1" applyFont="1" applyFill="1" applyBorder="1" applyAlignment="1">
      <alignment horizontal="center"/>
    </xf>
    <xf numFmtId="165" fontId="6" fillId="0" borderId="12" xfId="0" applyNumberFormat="1" applyFont="1" applyFill="1" applyBorder="1" applyAlignment="1">
      <alignment horizontal="center"/>
    </xf>
    <xf numFmtId="165" fontId="6" fillId="0" borderId="0" xfId="0" applyNumberFormat="1" applyFont="1" applyFill="1" applyBorder="1" applyAlignment="1">
      <alignment horizontal="center"/>
    </xf>
    <xf numFmtId="165" fontId="8" fillId="0" borderId="22" xfId="0" applyNumberFormat="1" applyFont="1" applyFill="1" applyBorder="1" applyAlignment="1">
      <alignment horizontal="center"/>
    </xf>
    <xf numFmtId="168" fontId="8" fillId="0" borderId="23" xfId="0" applyNumberFormat="1" applyFont="1" applyFill="1" applyBorder="1" applyAlignment="1">
      <alignment horizontal="right"/>
    </xf>
    <xf numFmtId="168" fontId="8" fillId="0" borderId="12" xfId="0" applyNumberFormat="1" applyFont="1" applyFill="1" applyBorder="1" applyAlignment="1">
      <alignment horizontal="right"/>
    </xf>
    <xf numFmtId="168" fontId="8" fillId="0" borderId="23" xfId="0" applyNumberFormat="1" applyFont="1" applyFill="1" applyBorder="1" applyAlignment="1">
      <alignment horizontal="center"/>
    </xf>
    <xf numFmtId="168" fontId="8" fillId="0" borderId="12" xfId="0" applyNumberFormat="1" applyFont="1" applyFill="1" applyBorder="1" applyAlignment="1">
      <alignment horizontal="center"/>
    </xf>
    <xf numFmtId="0" fontId="8" fillId="0" borderId="0" xfId="0" applyNumberFormat="1" applyFont="1" applyFill="1" applyBorder="1"/>
    <xf numFmtId="165" fontId="8" fillId="0" borderId="59" xfId="0" applyNumberFormat="1" applyFont="1" applyFill="1" applyBorder="1"/>
    <xf numFmtId="168" fontId="8" fillId="0" borderId="18" xfId="0" applyNumberFormat="1" applyFont="1" applyFill="1" applyBorder="1" applyAlignment="1">
      <alignment horizontal="center"/>
    </xf>
    <xf numFmtId="168" fontId="8" fillId="0" borderId="0" xfId="0" applyNumberFormat="1" applyFont="1" applyFill="1" applyBorder="1" applyAlignment="1">
      <alignment horizontal="center"/>
    </xf>
    <xf numFmtId="168" fontId="8" fillId="0" borderId="0" xfId="0" applyNumberFormat="1" applyFont="1" applyFill="1" applyBorder="1" applyAlignment="1">
      <alignment horizontal="right"/>
    </xf>
    <xf numFmtId="168" fontId="8" fillId="0" borderId="22" xfId="0" applyNumberFormat="1" applyFont="1" applyFill="1" applyBorder="1" applyAlignment="1">
      <alignment horizontal="center"/>
    </xf>
    <xf numFmtId="165" fontId="8" fillId="0" borderId="18" xfId="0" applyNumberFormat="1" applyFont="1" applyFill="1" applyBorder="1" applyAlignment="1">
      <alignment horizontal="center"/>
    </xf>
    <xf numFmtId="165" fontId="6" fillId="0" borderId="21" xfId="0" applyNumberFormat="1" applyFont="1" applyFill="1" applyBorder="1"/>
    <xf numFmtId="165" fontId="6" fillId="0" borderId="14" xfId="0" applyNumberFormat="1" applyFont="1" applyFill="1" applyBorder="1"/>
    <xf numFmtId="165" fontId="6" fillId="0" borderId="22" xfId="0" applyNumberFormat="1" applyFont="1" applyFill="1" applyBorder="1" applyAlignment="1">
      <alignment horizontal="center"/>
    </xf>
    <xf numFmtId="165" fontId="6" fillId="0" borderId="15" xfId="0" applyNumberFormat="1" applyFont="1" applyFill="1" applyBorder="1" applyAlignment="1">
      <alignment horizontal="center"/>
    </xf>
    <xf numFmtId="165" fontId="6" fillId="0" borderId="15" xfId="0" applyNumberFormat="1" applyFont="1" applyFill="1" applyBorder="1"/>
    <xf numFmtId="165" fontId="6" fillId="0" borderId="22" xfId="0" applyNumberFormat="1" applyFont="1" applyFill="1" applyBorder="1"/>
    <xf numFmtId="0" fontId="10" fillId="0" borderId="30" xfId="0" applyNumberFormat="1" applyFont="1" applyFill="1" applyBorder="1"/>
    <xf numFmtId="165" fontId="8" fillId="0" borderId="30" xfId="0" applyNumberFormat="1" applyFont="1" applyFill="1" applyBorder="1"/>
    <xf numFmtId="169" fontId="8" fillId="0" borderId="0" xfId="0" applyNumberFormat="1" applyFont="1" applyFill="1"/>
    <xf numFmtId="169" fontId="8" fillId="0" borderId="0" xfId="0" applyNumberFormat="1" applyFont="1" applyFill="1" applyBorder="1"/>
    <xf numFmtId="169" fontId="10" fillId="0" borderId="0" xfId="0" applyNumberFormat="1" applyFont="1" applyFill="1" applyBorder="1"/>
    <xf numFmtId="164" fontId="8" fillId="0" borderId="0" xfId="1" applyFont="1" applyFill="1" applyBorder="1"/>
    <xf numFmtId="0" fontId="10" fillId="0" borderId="0" xfId="0" applyNumberFormat="1" applyFont="1" applyFill="1" applyBorder="1"/>
    <xf numFmtId="170" fontId="8" fillId="0" borderId="0" xfId="0" applyNumberFormat="1" applyFont="1" applyFill="1" applyBorder="1"/>
    <xf numFmtId="171" fontId="8" fillId="0" borderId="0" xfId="0" applyNumberFormat="1" applyFont="1" applyFill="1" applyBorder="1"/>
    <xf numFmtId="165" fontId="5" fillId="0" borderId="6" xfId="0" applyNumberFormat="1" applyFont="1" applyFill="1" applyBorder="1"/>
    <xf numFmtId="165" fontId="6" fillId="0" borderId="9" xfId="0" applyNumberFormat="1" applyFont="1" applyFill="1" applyBorder="1"/>
    <xf numFmtId="165" fontId="6" fillId="0" borderId="10" xfId="0" applyNumberFormat="1" applyFont="1" applyFill="1" applyBorder="1"/>
    <xf numFmtId="0" fontId="19" fillId="0" borderId="17" xfId="0" applyFont="1" applyFill="1" applyBorder="1"/>
    <xf numFmtId="0" fontId="6" fillId="0" borderId="10" xfId="0" quotePrefix="1" applyFont="1" applyFill="1" applyBorder="1" applyAlignment="1">
      <alignment horizontal="center"/>
    </xf>
    <xf numFmtId="165" fontId="6" fillId="0" borderId="18" xfId="0" applyNumberFormat="1" applyFont="1" applyFill="1" applyBorder="1" applyAlignment="1">
      <alignment horizontal="left"/>
    </xf>
    <xf numFmtId="165" fontId="6" fillId="0" borderId="17" xfId="0" applyNumberFormat="1" applyFont="1" applyFill="1" applyBorder="1" applyAlignment="1">
      <alignment horizontal="left"/>
    </xf>
    <xf numFmtId="165" fontId="6" fillId="0" borderId="18" xfId="0" applyNumberFormat="1" applyFont="1" applyFill="1" applyBorder="1" applyAlignment="1">
      <alignment horizontal="center"/>
    </xf>
    <xf numFmtId="165" fontId="8" fillId="0" borderId="7" xfId="0" applyNumberFormat="1" applyFont="1" applyFill="1" applyBorder="1" applyAlignment="1">
      <alignment horizontal="center"/>
    </xf>
    <xf numFmtId="165" fontId="8" fillId="0" borderId="15" xfId="0" applyNumberFormat="1" applyFont="1" applyFill="1" applyBorder="1" applyAlignment="1">
      <alignment horizontal="center"/>
    </xf>
    <xf numFmtId="165" fontId="6" fillId="0" borderId="0" xfId="8" applyNumberFormat="1" applyFont="1" applyFill="1" applyBorder="1" applyAlignment="1">
      <alignment horizontal="center"/>
    </xf>
    <xf numFmtId="165" fontId="8" fillId="0" borderId="15" xfId="8" applyNumberFormat="1" applyFont="1" applyFill="1" applyBorder="1" applyAlignment="1">
      <alignment horizontal="center"/>
    </xf>
    <xf numFmtId="165" fontId="8" fillId="0" borderId="14" xfId="0" applyNumberFormat="1" applyFont="1" applyFill="1" applyBorder="1" applyAlignment="1">
      <alignment horizontal="center"/>
    </xf>
    <xf numFmtId="165" fontId="8" fillId="0" borderId="0" xfId="8" applyNumberFormat="1" applyFont="1" applyFill="1" applyBorder="1" applyAlignment="1">
      <alignment horizontal="center"/>
    </xf>
    <xf numFmtId="165" fontId="8" fillId="0" borderId="24" xfId="0" applyNumberFormat="1" applyFont="1" applyFill="1" applyBorder="1" applyAlignment="1">
      <alignment horizontal="center"/>
    </xf>
    <xf numFmtId="165" fontId="8" fillId="0" borderId="17" xfId="8" applyNumberFormat="1" applyFont="1" applyFill="1" applyBorder="1" applyAlignment="1">
      <alignment horizontal="center"/>
    </xf>
    <xf numFmtId="165" fontId="8" fillId="0" borderId="20" xfId="0" applyNumberFormat="1" applyFont="1" applyFill="1" applyBorder="1" applyAlignment="1">
      <alignment horizontal="center"/>
    </xf>
    <xf numFmtId="165" fontId="8" fillId="0" borderId="17" xfId="0" applyNumberFormat="1" applyFont="1" applyFill="1" applyBorder="1" applyAlignment="1">
      <alignment horizontal="center"/>
    </xf>
    <xf numFmtId="165" fontId="8" fillId="0" borderId="12" xfId="0" applyNumberFormat="1" applyFont="1" applyFill="1" applyBorder="1" applyAlignment="1">
      <alignment horizontal="left"/>
    </xf>
    <xf numFmtId="165" fontId="8" fillId="0" borderId="18" xfId="0" applyNumberFormat="1" applyFont="1" applyFill="1" applyBorder="1" applyAlignment="1">
      <alignment horizontal="left"/>
    </xf>
    <xf numFmtId="165" fontId="6" fillId="0" borderId="0" xfId="1" applyNumberFormat="1" applyFont="1" applyFill="1" applyBorder="1" applyAlignment="1">
      <alignment horizontal="right"/>
    </xf>
    <xf numFmtId="165" fontId="6" fillId="0" borderId="12" xfId="1" applyNumberFormat="1" applyFont="1" applyFill="1" applyBorder="1" applyAlignment="1">
      <alignment horizontal="right"/>
    </xf>
    <xf numFmtId="164" fontId="6" fillId="0" borderId="0" xfId="1" applyFont="1" applyFill="1"/>
    <xf numFmtId="165" fontId="8" fillId="0" borderId="15" xfId="1" applyNumberFormat="1" applyFont="1" applyFill="1" applyBorder="1" applyAlignment="1">
      <alignment horizontal="right"/>
    </xf>
    <xf numFmtId="165" fontId="8" fillId="0" borderId="14" xfId="1" applyNumberFormat="1" applyFont="1" applyFill="1" applyBorder="1" applyAlignment="1">
      <alignment horizontal="right"/>
    </xf>
    <xf numFmtId="165" fontId="8" fillId="0" borderId="12" xfId="1" applyNumberFormat="1" applyFont="1" applyFill="1" applyBorder="1" applyAlignment="1">
      <alignment horizontal="right"/>
    </xf>
    <xf numFmtId="165" fontId="8" fillId="0" borderId="22" xfId="1" applyNumberFormat="1" applyFont="1" applyFill="1" applyBorder="1" applyAlignment="1">
      <alignment horizontal="right"/>
    </xf>
    <xf numFmtId="164" fontId="8" fillId="0" borderId="0" xfId="1" applyFont="1" applyFill="1"/>
    <xf numFmtId="165" fontId="8" fillId="0" borderId="49" xfId="0" applyNumberFormat="1" applyFont="1" applyFill="1" applyBorder="1"/>
    <xf numFmtId="165" fontId="8" fillId="0" borderId="50" xfId="1" applyNumberFormat="1" applyFont="1" applyFill="1" applyBorder="1" applyAlignment="1">
      <alignment horizontal="right"/>
    </xf>
    <xf numFmtId="165" fontId="8" fillId="0" borderId="51" xfId="1" applyNumberFormat="1" applyFont="1" applyFill="1" applyBorder="1" applyAlignment="1">
      <alignment horizontal="right"/>
    </xf>
    <xf numFmtId="165" fontId="8" fillId="0" borderId="49" xfId="1" applyNumberFormat="1" applyFont="1" applyFill="1" applyBorder="1" applyAlignment="1">
      <alignment horizontal="right"/>
    </xf>
    <xf numFmtId="165" fontId="8" fillId="0" borderId="50" xfId="1" applyNumberFormat="1" applyFont="1" applyFill="1" applyBorder="1" applyAlignment="1">
      <alignment horizontal="left"/>
    </xf>
    <xf numFmtId="165" fontId="8" fillId="0" borderId="60" xfId="0" applyNumberFormat="1" applyFont="1" applyFill="1" applyBorder="1"/>
    <xf numFmtId="165" fontId="8" fillId="0" borderId="17" xfId="1" applyNumberFormat="1" applyFont="1" applyFill="1" applyBorder="1" applyAlignment="1">
      <alignment horizontal="right"/>
    </xf>
    <xf numFmtId="165" fontId="8" fillId="0" borderId="18" xfId="1" applyNumberFormat="1" applyFont="1" applyFill="1" applyBorder="1" applyAlignment="1">
      <alignment horizontal="right"/>
    </xf>
    <xf numFmtId="165" fontId="6" fillId="0" borderId="7" xfId="0" applyNumberFormat="1" applyFont="1" applyFill="1" applyBorder="1" applyAlignment="1">
      <alignment horizontal="center"/>
    </xf>
    <xf numFmtId="165" fontId="8" fillId="0" borderId="34" xfId="0" applyNumberFormat="1" applyFont="1" applyFill="1" applyBorder="1"/>
    <xf numFmtId="165" fontId="8" fillId="0" borderId="61" xfId="0" applyNumberFormat="1" applyFont="1" applyFill="1" applyBorder="1"/>
    <xf numFmtId="165" fontId="8" fillId="0" borderId="26" xfId="0" applyNumberFormat="1" applyFont="1" applyFill="1" applyBorder="1"/>
    <xf numFmtId="165" fontId="8" fillId="0" borderId="6" xfId="1" applyNumberFormat="1" applyFont="1" applyFill="1" applyBorder="1" applyAlignment="1">
      <alignment horizontal="right"/>
    </xf>
    <xf numFmtId="165" fontId="8" fillId="0" borderId="26" xfId="1" applyNumberFormat="1" applyFont="1" applyFill="1" applyBorder="1" applyAlignment="1">
      <alignment horizontal="right"/>
    </xf>
    <xf numFmtId="165" fontId="10" fillId="0" borderId="0" xfId="1" applyNumberFormat="1" applyFont="1" applyFill="1" applyBorder="1" applyAlignment="1">
      <alignment horizontal="left"/>
    </xf>
    <xf numFmtId="165" fontId="6" fillId="0" borderId="0" xfId="0" quotePrefix="1" applyNumberFormat="1" applyFont="1" applyFill="1" applyBorder="1"/>
    <xf numFmtId="165" fontId="8" fillId="0" borderId="29" xfId="0" applyNumberFormat="1" applyFont="1" applyFill="1" applyBorder="1" applyAlignment="1">
      <alignment horizontal="right"/>
    </xf>
    <xf numFmtId="0" fontId="6" fillId="0" borderId="17" xfId="0" applyFont="1" applyFill="1" applyBorder="1" applyAlignment="1">
      <alignment horizontal="center"/>
    </xf>
    <xf numFmtId="165" fontId="8" fillId="0" borderId="7" xfId="0" applyNumberFormat="1" applyFont="1" applyFill="1" applyBorder="1" applyAlignment="1">
      <alignment horizontal="right"/>
    </xf>
    <xf numFmtId="165" fontId="8" fillId="0" borderId="12" xfId="0" applyNumberFormat="1" applyFont="1" applyFill="1" applyBorder="1" applyAlignment="1">
      <alignment horizontal="left" indent="1"/>
    </xf>
    <xf numFmtId="165" fontId="8" fillId="0" borderId="22" xfId="0" applyNumberFormat="1" applyFont="1" applyFill="1" applyBorder="1" applyAlignment="1">
      <alignment horizontal="left" indent="1"/>
    </xf>
    <xf numFmtId="165" fontId="8" fillId="0" borderId="15" xfId="0" applyNumberFormat="1" applyFont="1" applyFill="1" applyBorder="1" applyAlignment="1">
      <alignment horizontal="left" indent="1"/>
    </xf>
    <xf numFmtId="165" fontId="8" fillId="0" borderId="18" xfId="0" applyNumberFormat="1" applyFont="1" applyFill="1" applyBorder="1" applyAlignment="1">
      <alignment horizontal="left" indent="1"/>
    </xf>
    <xf numFmtId="165" fontId="8" fillId="0" borderId="17" xfId="0" applyNumberFormat="1" applyFont="1" applyFill="1" applyBorder="1" applyAlignment="1">
      <alignment horizontal="left" indent="1"/>
    </xf>
    <xf numFmtId="165" fontId="6" fillId="0" borderId="12" xfId="0" applyNumberFormat="1" applyFont="1" applyFill="1" applyBorder="1" applyAlignment="1">
      <alignment horizontal="left"/>
    </xf>
    <xf numFmtId="165" fontId="8" fillId="0" borderId="49" xfId="0" applyNumberFormat="1" applyFont="1" applyFill="1" applyBorder="1" applyAlignment="1">
      <alignment horizontal="left" indent="1"/>
    </xf>
    <xf numFmtId="167" fontId="8" fillId="0" borderId="50" xfId="1" applyNumberFormat="1" applyFont="1" applyFill="1" applyBorder="1" applyAlignment="1">
      <alignment horizontal="right"/>
    </xf>
    <xf numFmtId="165" fontId="8" fillId="0" borderId="50" xfId="0" applyNumberFormat="1" applyFont="1" applyFill="1" applyBorder="1"/>
    <xf numFmtId="165" fontId="5" fillId="0" borderId="0" xfId="0" applyNumberFormat="1" applyFont="1" applyFill="1"/>
    <xf numFmtId="165" fontId="6" fillId="0" borderId="17" xfId="0" applyNumberFormat="1" applyFont="1" applyFill="1" applyBorder="1"/>
    <xf numFmtId="165" fontId="6" fillId="0" borderId="17"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12" xfId="1" applyNumberFormat="1" applyFont="1" applyFill="1" applyBorder="1" applyAlignment="1">
      <alignment horizontal="right"/>
    </xf>
    <xf numFmtId="165" fontId="8" fillId="0" borderId="25" xfId="0" applyNumberFormat="1" applyFont="1" applyFill="1" applyBorder="1"/>
    <xf numFmtId="165" fontId="11" fillId="0" borderId="6" xfId="1" applyNumberFormat="1" applyFont="1" applyFill="1" applyBorder="1" applyAlignment="1">
      <alignment horizontal="right"/>
    </xf>
    <xf numFmtId="165" fontId="11" fillId="0" borderId="26" xfId="1" applyNumberFormat="1" applyFont="1" applyFill="1" applyBorder="1" applyAlignment="1">
      <alignment horizontal="right"/>
    </xf>
    <xf numFmtId="165" fontId="11" fillId="0" borderId="30" xfId="1" applyNumberFormat="1" applyFont="1" applyFill="1" applyBorder="1" applyAlignment="1">
      <alignment horizontal="right"/>
    </xf>
    <xf numFmtId="165" fontId="8" fillId="0" borderId="30" xfId="1" applyNumberFormat="1" applyFont="1" applyFill="1" applyBorder="1" applyAlignment="1">
      <alignment horizontal="right"/>
    </xf>
    <xf numFmtId="165" fontId="10" fillId="0" borderId="7" xfId="0" applyNumberFormat="1" applyFont="1" applyFill="1" applyBorder="1"/>
    <xf numFmtId="165" fontId="10" fillId="0" borderId="12" xfId="0" applyNumberFormat="1" applyFont="1" applyFill="1" applyBorder="1"/>
    <xf numFmtId="165" fontId="10" fillId="0" borderId="0" xfId="0" applyNumberFormat="1" applyFont="1" applyFill="1" applyBorder="1"/>
    <xf numFmtId="165" fontId="10" fillId="0" borderId="0" xfId="0" applyNumberFormat="1" applyFont="1" applyFill="1" applyAlignment="1">
      <alignment horizontal="right"/>
    </xf>
    <xf numFmtId="165" fontId="9" fillId="0" borderId="0" xfId="0" applyNumberFormat="1" applyFont="1" applyFill="1" applyBorder="1" applyAlignment="1">
      <alignment horizontal="right"/>
    </xf>
    <xf numFmtId="165" fontId="6" fillId="0" borderId="29" xfId="0" applyNumberFormat="1" applyFont="1" applyFill="1" applyBorder="1"/>
    <xf numFmtId="165" fontId="9" fillId="0" borderId="30" xfId="0" applyNumberFormat="1" applyFont="1" applyFill="1" applyBorder="1" applyAlignment="1">
      <alignment horizontal="right"/>
    </xf>
    <xf numFmtId="165" fontId="6" fillId="0" borderId="8" xfId="0" applyNumberFormat="1" applyFont="1" applyFill="1" applyBorder="1"/>
    <xf numFmtId="165" fontId="6" fillId="0" borderId="30" xfId="0" applyNumberFormat="1" applyFont="1" applyFill="1" applyBorder="1"/>
    <xf numFmtId="165" fontId="6" fillId="0" borderId="30" xfId="0" applyNumberFormat="1" applyFont="1" applyFill="1" applyBorder="1" applyAlignment="1">
      <alignment horizontal="center"/>
    </xf>
    <xf numFmtId="165" fontId="6" fillId="0" borderId="7" xfId="0" applyNumberFormat="1" applyFont="1" applyFill="1" applyBorder="1" applyAlignment="1">
      <alignment horizontal="right"/>
    </xf>
    <xf numFmtId="165" fontId="9" fillId="0" borderId="17" xfId="0" applyNumberFormat="1" applyFont="1" applyFill="1" applyBorder="1" applyAlignment="1">
      <alignment horizontal="right"/>
    </xf>
    <xf numFmtId="165" fontId="8" fillId="0" borderId="15" xfId="1" applyNumberFormat="1" applyFont="1" applyFill="1" applyBorder="1" applyAlignment="1">
      <alignment horizontal="center"/>
    </xf>
    <xf numFmtId="165" fontId="8" fillId="0" borderId="14" xfId="1" applyNumberFormat="1" applyFont="1" applyFill="1" applyBorder="1" applyAlignment="1">
      <alignment horizontal="center"/>
    </xf>
    <xf numFmtId="165" fontId="8" fillId="0" borderId="22" xfId="1" applyNumberFormat="1" applyFont="1" applyFill="1" applyBorder="1" applyAlignment="1">
      <alignment horizontal="center"/>
    </xf>
    <xf numFmtId="165" fontId="8" fillId="0" borderId="7" xfId="1" applyNumberFormat="1" applyFont="1" applyFill="1" applyBorder="1" applyAlignment="1">
      <alignment horizontal="center"/>
    </xf>
    <xf numFmtId="165" fontId="8" fillId="0" borderId="13" xfId="1" applyNumberFormat="1" applyFont="1" applyFill="1" applyBorder="1" applyAlignment="1">
      <alignment horizontal="center"/>
    </xf>
    <xf numFmtId="165" fontId="8" fillId="0" borderId="13" xfId="1" applyNumberFormat="1" applyFont="1" applyFill="1" applyBorder="1" applyAlignment="1">
      <alignment horizontal="right"/>
    </xf>
    <xf numFmtId="165" fontId="8" fillId="0" borderId="19" xfId="1" applyNumberFormat="1" applyFont="1" applyFill="1" applyBorder="1" applyAlignment="1">
      <alignment horizontal="center"/>
    </xf>
    <xf numFmtId="165" fontId="8" fillId="0" borderId="17" xfId="1" applyNumberFormat="1" applyFont="1" applyFill="1" applyBorder="1" applyAlignment="1">
      <alignment horizontal="center"/>
    </xf>
    <xf numFmtId="165" fontId="8" fillId="0" borderId="20" xfId="1" applyNumberFormat="1" applyFont="1" applyFill="1" applyBorder="1" applyAlignment="1">
      <alignment horizontal="center"/>
    </xf>
    <xf numFmtId="165" fontId="8" fillId="0" borderId="18" xfId="1" applyNumberFormat="1" applyFont="1" applyFill="1" applyBorder="1" applyAlignment="1">
      <alignment horizontal="center"/>
    </xf>
    <xf numFmtId="172" fontId="8" fillId="0" borderId="0" xfId="3" applyNumberFormat="1" applyFont="1" applyFill="1" applyBorder="1" applyAlignment="1">
      <alignment horizontal="right"/>
    </xf>
    <xf numFmtId="165" fontId="8" fillId="0" borderId="7" xfId="0" quotePrefix="1" applyNumberFormat="1" applyFont="1" applyFill="1" applyBorder="1"/>
    <xf numFmtId="165" fontId="6" fillId="0" borderId="23" xfId="0" applyNumberFormat="1" applyFont="1" applyFill="1" applyBorder="1"/>
    <xf numFmtId="165" fontId="6" fillId="0" borderId="50" xfId="0" applyNumberFormat="1" applyFont="1" applyFill="1" applyBorder="1"/>
    <xf numFmtId="165" fontId="8" fillId="0" borderId="50" xfId="1" applyNumberFormat="1" applyFont="1" applyFill="1" applyBorder="1" applyAlignment="1">
      <alignment horizontal="center"/>
    </xf>
    <xf numFmtId="0" fontId="8" fillId="0" borderId="7" xfId="0" applyNumberFormat="1" applyFont="1" applyFill="1" applyBorder="1"/>
    <xf numFmtId="173" fontId="8" fillId="0" borderId="0" xfId="0" applyNumberFormat="1" applyFont="1" applyFill="1"/>
    <xf numFmtId="165" fontId="6" fillId="0" borderId="50" xfId="1" applyNumberFormat="1" applyFont="1" applyFill="1" applyBorder="1" applyAlignment="1">
      <alignment horizontal="center"/>
    </xf>
    <xf numFmtId="165" fontId="6" fillId="0" borderId="50" xfId="1" applyNumberFormat="1" applyFont="1" applyFill="1" applyBorder="1" applyAlignment="1">
      <alignment horizontal="right"/>
    </xf>
    <xf numFmtId="168" fontId="6" fillId="0" borderId="0" xfId="1" applyNumberFormat="1" applyFont="1" applyFill="1"/>
    <xf numFmtId="168" fontId="6" fillId="0" borderId="0" xfId="0" applyNumberFormat="1" applyFont="1" applyFill="1"/>
    <xf numFmtId="165" fontId="6" fillId="0" borderId="36" xfId="0" applyNumberFormat="1" applyFont="1" applyFill="1" applyBorder="1"/>
    <xf numFmtId="165" fontId="10" fillId="0" borderId="6" xfId="0" applyNumberFormat="1" applyFont="1" applyFill="1" applyBorder="1" applyAlignment="1">
      <alignment horizontal="right"/>
    </xf>
    <xf numFmtId="165" fontId="6" fillId="0" borderId="54" xfId="0" applyNumberFormat="1" applyFont="1" applyFill="1" applyBorder="1"/>
    <xf numFmtId="165" fontId="6" fillId="0" borderId="37" xfId="0" applyNumberFormat="1" applyFont="1" applyFill="1" applyBorder="1"/>
    <xf numFmtId="165" fontId="10" fillId="0" borderId="0" xfId="0" quotePrefix="1" applyNumberFormat="1" applyFont="1" applyFill="1"/>
    <xf numFmtId="165" fontId="10" fillId="0" borderId="0" xfId="0" quotePrefix="1" applyNumberFormat="1" applyFont="1" applyFill="1" applyAlignment="1">
      <alignment horizontal="right"/>
    </xf>
    <xf numFmtId="174" fontId="8" fillId="0" borderId="0" xfId="1" applyNumberFormat="1" applyFont="1" applyFill="1"/>
    <xf numFmtId="43" fontId="6" fillId="0" borderId="0" xfId="0" applyNumberFormat="1" applyFont="1" applyFill="1"/>
    <xf numFmtId="175" fontId="8" fillId="0" borderId="0" xfId="0" applyNumberFormat="1" applyFont="1" applyFill="1"/>
    <xf numFmtId="176" fontId="8" fillId="0" borderId="0" xfId="0" applyNumberFormat="1" applyFont="1" applyFill="1"/>
    <xf numFmtId="170" fontId="8" fillId="0" borderId="0" xfId="0" applyNumberFormat="1" applyFont="1" applyFill="1"/>
    <xf numFmtId="177" fontId="8" fillId="0" borderId="0" xfId="1" applyNumberFormat="1" applyFont="1" applyFill="1"/>
    <xf numFmtId="174" fontId="8" fillId="0" borderId="0" xfId="0" applyNumberFormat="1" applyFont="1" applyFill="1"/>
    <xf numFmtId="165" fontId="8" fillId="0" borderId="0" xfId="3" applyNumberFormat="1" applyFont="1" applyFill="1" applyBorder="1" applyAlignment="1">
      <alignment horizontal="right"/>
    </xf>
    <xf numFmtId="43" fontId="8" fillId="0" borderId="0" xfId="3" applyFont="1" applyFill="1" applyBorder="1"/>
    <xf numFmtId="165" fontId="8" fillId="0" borderId="0" xfId="3" applyNumberFormat="1" applyFont="1" applyFill="1" applyBorder="1"/>
    <xf numFmtId="178" fontId="8" fillId="0" borderId="0" xfId="0" applyNumberFormat="1" applyFont="1" applyFill="1" applyBorder="1"/>
    <xf numFmtId="43" fontId="8" fillId="0" borderId="0" xfId="3" applyNumberFormat="1" applyFont="1" applyFill="1" applyBorder="1"/>
    <xf numFmtId="178" fontId="8" fillId="0" borderId="0" xfId="3" applyNumberFormat="1" applyFont="1" applyFill="1" applyBorder="1"/>
    <xf numFmtId="43" fontId="8" fillId="0" borderId="0" xfId="0" applyNumberFormat="1" applyFont="1" applyFill="1" applyBorder="1"/>
    <xf numFmtId="43" fontId="8" fillId="0" borderId="0" xfId="3" applyFont="1" applyFill="1"/>
    <xf numFmtId="0" fontId="8" fillId="0" borderId="34" xfId="0" applyFont="1" applyFill="1" applyBorder="1"/>
    <xf numFmtId="0" fontId="6" fillId="0" borderId="29" xfId="0" applyFont="1" applyFill="1" applyBorder="1"/>
    <xf numFmtId="0" fontId="6" fillId="0" borderId="30" xfId="0" applyFont="1" applyFill="1" applyBorder="1"/>
    <xf numFmtId="0" fontId="6" fillId="0" borderId="30" xfId="0" applyFont="1" applyFill="1" applyBorder="1" applyAlignment="1">
      <alignment horizontal="right"/>
    </xf>
    <xf numFmtId="0" fontId="6" fillId="0" borderId="0" xfId="0" applyFont="1" applyFill="1" applyBorder="1" applyAlignment="1">
      <alignment horizontal="right"/>
    </xf>
    <xf numFmtId="0" fontId="6" fillId="0" borderId="13" xfId="0" applyFont="1" applyFill="1" applyBorder="1" applyAlignment="1">
      <alignment horizontal="right"/>
    </xf>
    <xf numFmtId="0" fontId="6" fillId="0" borderId="23" xfId="0" applyFont="1" applyFill="1" applyBorder="1" applyAlignment="1">
      <alignment horizontal="right"/>
    </xf>
    <xf numFmtId="0" fontId="6" fillId="0" borderId="19" xfId="2" applyFont="1" applyFill="1" applyBorder="1" applyAlignment="1">
      <alignment horizontal="right"/>
    </xf>
    <xf numFmtId="0" fontId="6" fillId="0" borderId="19" xfId="0" applyFont="1" applyFill="1" applyBorder="1" applyAlignment="1">
      <alignment horizontal="right"/>
    </xf>
    <xf numFmtId="0" fontId="6" fillId="0" borderId="19" xfId="0" applyFont="1" applyFill="1" applyBorder="1" applyAlignment="1">
      <alignment horizontal="center"/>
    </xf>
    <xf numFmtId="0" fontId="8" fillId="0" borderId="23" xfId="0" applyFont="1" applyFill="1" applyBorder="1" applyAlignment="1">
      <alignment horizontal="center"/>
    </xf>
    <xf numFmtId="0" fontId="10" fillId="0" borderId="0" xfId="0" applyFont="1" applyFill="1" applyBorder="1" applyAlignment="1">
      <alignment horizontal="right"/>
    </xf>
    <xf numFmtId="179" fontId="8" fillId="0" borderId="0" xfId="0" applyNumberFormat="1" applyFont="1" applyFill="1" applyAlignment="1">
      <alignment horizontal="right"/>
    </xf>
    <xf numFmtId="165" fontId="11" fillId="0" borderId="12" xfId="3" applyNumberFormat="1" applyFont="1" applyFill="1" applyBorder="1" applyAlignment="1">
      <alignment horizontal="right"/>
    </xf>
    <xf numFmtId="165" fontId="11" fillId="0" borderId="23" xfId="3" applyNumberFormat="1" applyFont="1" applyFill="1" applyBorder="1" applyAlignment="1">
      <alignment horizontal="right"/>
    </xf>
    <xf numFmtId="0" fontId="6" fillId="0" borderId="34" xfId="0" applyFont="1" applyFill="1" applyBorder="1"/>
    <xf numFmtId="165" fontId="15" fillId="0" borderId="12" xfId="3" applyNumberFormat="1" applyFont="1" applyFill="1" applyBorder="1" applyAlignment="1">
      <alignment horizontal="right"/>
    </xf>
    <xf numFmtId="165" fontId="15" fillId="0" borderId="23" xfId="3" applyNumberFormat="1" applyFont="1" applyFill="1" applyBorder="1" applyAlignment="1">
      <alignment horizontal="right"/>
    </xf>
    <xf numFmtId="0" fontId="8" fillId="0" borderId="0" xfId="0" quotePrefix="1" applyFont="1" applyFill="1" applyBorder="1" applyAlignment="1">
      <alignment horizontal="right"/>
    </xf>
    <xf numFmtId="0" fontId="11" fillId="0" borderId="0" xfId="0" applyNumberFormat="1" applyFont="1" applyFill="1" applyBorder="1" applyAlignment="1"/>
    <xf numFmtId="165" fontId="6" fillId="0" borderId="26" xfId="3" applyNumberFormat="1" applyFont="1" applyFill="1" applyBorder="1" applyAlignment="1">
      <alignment horizontal="right"/>
    </xf>
    <xf numFmtId="165" fontId="6" fillId="0" borderId="27" xfId="3" applyNumberFormat="1" applyFont="1" applyFill="1" applyBorder="1" applyAlignment="1">
      <alignment horizontal="right"/>
    </xf>
    <xf numFmtId="43" fontId="8" fillId="0" borderId="0" xfId="0" applyNumberFormat="1" applyFont="1" applyFill="1" applyAlignment="1">
      <alignment horizontal="right"/>
    </xf>
    <xf numFmtId="165" fontId="8" fillId="0" borderId="12" xfId="3" applyNumberFormat="1" applyFont="1" applyFill="1" applyBorder="1" applyAlignment="1">
      <alignment horizontal="right"/>
    </xf>
    <xf numFmtId="0" fontId="10" fillId="0" borderId="24" xfId="0" applyFont="1" applyFill="1" applyBorder="1" applyAlignment="1">
      <alignment horizontal="right"/>
    </xf>
    <xf numFmtId="165" fontId="8" fillId="0" borderId="24" xfId="3" applyNumberFormat="1" applyFont="1" applyFill="1" applyBorder="1" applyAlignment="1">
      <alignment horizontal="right"/>
    </xf>
    <xf numFmtId="0" fontId="8" fillId="0" borderId="6" xfId="0" applyFont="1" applyFill="1" applyBorder="1" applyAlignment="1">
      <alignment horizontal="right"/>
    </xf>
    <xf numFmtId="165" fontId="8" fillId="0" borderId="26" xfId="3" applyNumberFormat="1" applyFont="1" applyFill="1" applyBorder="1" applyAlignment="1">
      <alignment horizontal="right"/>
    </xf>
    <xf numFmtId="165" fontId="8" fillId="0" borderId="27" xfId="3" applyNumberFormat="1" applyFont="1" applyFill="1" applyBorder="1" applyAlignment="1">
      <alignment horizontal="right"/>
    </xf>
    <xf numFmtId="165" fontId="8" fillId="0" borderId="44" xfId="3" applyNumberFormat="1" applyFont="1" applyFill="1" applyBorder="1" applyAlignment="1">
      <alignment horizontal="right"/>
    </xf>
    <xf numFmtId="0" fontId="11" fillId="0" borderId="29" xfId="0" applyNumberFormat="1" applyFont="1" applyFill="1" applyBorder="1"/>
    <xf numFmtId="0" fontId="20" fillId="0" borderId="30" xfId="0" applyNumberFormat="1" applyFont="1" applyFill="1" applyBorder="1"/>
    <xf numFmtId="0" fontId="8" fillId="0" borderId="30" xfId="0" applyFont="1" applyFill="1" applyBorder="1"/>
    <xf numFmtId="0" fontId="8" fillId="0" borderId="30" xfId="0" applyFont="1" applyFill="1" applyBorder="1" applyAlignment="1">
      <alignment horizontal="right"/>
    </xf>
    <xf numFmtId="165" fontId="8" fillId="0" borderId="8" xfId="3" applyNumberFormat="1" applyFont="1" applyFill="1" applyBorder="1" applyAlignment="1">
      <alignment horizontal="right"/>
    </xf>
    <xf numFmtId="165" fontId="8" fillId="0" borderId="45" xfId="3" applyNumberFormat="1" applyFont="1" applyFill="1" applyBorder="1" applyAlignment="1">
      <alignment horizontal="right"/>
    </xf>
    <xf numFmtId="0" fontId="15" fillId="0" borderId="7" xfId="0" applyNumberFormat="1" applyFont="1" applyFill="1" applyBorder="1"/>
    <xf numFmtId="0" fontId="21" fillId="0" borderId="0" xfId="0" applyNumberFormat="1" applyFont="1" applyFill="1" applyBorder="1"/>
    <xf numFmtId="0" fontId="20" fillId="0" borderId="7" xfId="0" applyNumberFormat="1" applyFont="1" applyFill="1" applyBorder="1"/>
    <xf numFmtId="0" fontId="20" fillId="0" borderId="0" xfId="0" applyNumberFormat="1" applyFont="1" applyFill="1" applyBorder="1"/>
    <xf numFmtId="165" fontId="8" fillId="0" borderId="12" xfId="2" applyNumberFormat="1" applyFont="1" applyFill="1" applyBorder="1"/>
    <xf numFmtId="0" fontId="11" fillId="0" borderId="7" xfId="0" applyNumberFormat="1" applyFont="1" applyFill="1" applyBorder="1"/>
    <xf numFmtId="0" fontId="11" fillId="0" borderId="0" xfId="0" applyNumberFormat="1" applyFont="1" applyFill="1" applyBorder="1"/>
    <xf numFmtId="0" fontId="10" fillId="0" borderId="0" xfId="0" applyFont="1" applyFill="1" applyBorder="1" applyAlignment="1">
      <alignment horizontal="left"/>
    </xf>
    <xf numFmtId="0" fontId="10" fillId="0" borderId="0" xfId="0" applyFont="1" applyFill="1" applyBorder="1" applyAlignment="1"/>
    <xf numFmtId="0" fontId="10" fillId="0" borderId="0" xfId="0" quotePrefix="1" applyFont="1" applyFill="1" applyAlignment="1">
      <alignment horizontal="left"/>
    </xf>
    <xf numFmtId="0" fontId="10" fillId="0" borderId="0" xfId="0" applyFont="1" applyFill="1" applyAlignment="1"/>
    <xf numFmtId="0" fontId="10" fillId="0" borderId="0" xfId="0" applyFont="1" applyFill="1" applyAlignment="1">
      <alignment horizontal="right"/>
    </xf>
    <xf numFmtId="0" fontId="10" fillId="0" borderId="0" xfId="0" quotePrefix="1" applyFont="1" applyFill="1" applyBorder="1" applyAlignment="1">
      <alignment vertical="top"/>
    </xf>
    <xf numFmtId="0" fontId="4" fillId="0" borderId="0" xfId="0" applyFont="1" applyBorder="1"/>
    <xf numFmtId="0" fontId="5" fillId="0" borderId="6" xfId="0" applyFont="1" applyBorder="1"/>
    <xf numFmtId="0" fontId="4" fillId="0" borderId="6" xfId="0" applyFont="1" applyBorder="1"/>
    <xf numFmtId="0" fontId="4" fillId="0" borderId="0" xfId="0" applyFont="1" applyFill="1" applyBorder="1"/>
    <xf numFmtId="0" fontId="4" fillId="0" borderId="6" xfId="0" applyFont="1" applyFill="1" applyBorder="1"/>
    <xf numFmtId="0" fontId="4" fillId="0" borderId="0" xfId="0" applyFont="1"/>
    <xf numFmtId="0" fontId="6" fillId="0" borderId="30" xfId="0" applyFont="1" applyBorder="1"/>
    <xf numFmtId="0" fontId="4" fillId="0" borderId="7" xfId="0" applyFont="1" applyBorder="1"/>
    <xf numFmtId="0" fontId="6" fillId="0" borderId="0" xfId="0" applyFont="1" applyBorder="1"/>
    <xf numFmtId="0" fontId="6" fillId="0" borderId="13" xfId="2" applyFont="1" applyFill="1" applyBorder="1" applyAlignment="1">
      <alignment horizontal="right"/>
    </xf>
    <xf numFmtId="0" fontId="6" fillId="0" borderId="22" xfId="0" applyFont="1" applyFill="1" applyBorder="1" applyAlignment="1">
      <alignment horizontal="right"/>
    </xf>
    <xf numFmtId="0" fontId="6" fillId="0" borderId="16" xfId="0" applyFont="1" applyBorder="1"/>
    <xf numFmtId="0" fontId="6" fillId="0" borderId="17" xfId="0" applyFont="1" applyBorder="1" applyAlignment="1">
      <alignment horizontal="center"/>
    </xf>
    <xf numFmtId="0" fontId="6" fillId="0" borderId="0" xfId="0" applyFont="1" applyBorder="1" applyAlignment="1">
      <alignment horizontal="center"/>
    </xf>
    <xf numFmtId="0" fontId="6" fillId="0" borderId="24" xfId="0" applyFont="1" applyFill="1" applyBorder="1" applyAlignment="1">
      <alignment horizontal="right"/>
    </xf>
    <xf numFmtId="0" fontId="15" fillId="0" borderId="7" xfId="0" applyNumberFormat="1" applyFont="1" applyBorder="1"/>
    <xf numFmtId="43" fontId="2" fillId="0" borderId="7" xfId="0" applyNumberFormat="1" applyFont="1" applyBorder="1"/>
    <xf numFmtId="165" fontId="4" fillId="0" borderId="0" xfId="0" applyNumberFormat="1" applyFont="1"/>
    <xf numFmtId="43" fontId="4" fillId="0" borderId="7" xfId="0" applyNumberFormat="1" applyFont="1" applyBorder="1"/>
    <xf numFmtId="0" fontId="8" fillId="0" borderId="0" xfId="0" applyFont="1" applyBorder="1"/>
    <xf numFmtId="0" fontId="8" fillId="0" borderId="0" xfId="0" applyNumberFormat="1" applyFont="1" applyFill="1" applyBorder="1" applyAlignment="1">
      <alignment horizontal="right"/>
    </xf>
    <xf numFmtId="165" fontId="8" fillId="0" borderId="23" xfId="2" applyNumberFormat="1" applyFont="1" applyFill="1" applyBorder="1" applyAlignment="1">
      <alignment horizontal="right"/>
    </xf>
    <xf numFmtId="43" fontId="4" fillId="0" borderId="0" xfId="0" applyNumberFormat="1" applyFont="1"/>
    <xf numFmtId="43" fontId="4" fillId="0" borderId="7" xfId="0" applyNumberFormat="1" applyFont="1" applyFill="1" applyBorder="1"/>
    <xf numFmtId="0" fontId="4" fillId="0" borderId="0" xfId="0" applyFont="1" applyFill="1"/>
    <xf numFmtId="0" fontId="10" fillId="0" borderId="0" xfId="0" applyNumberFormat="1" applyFont="1" applyFill="1" applyBorder="1" applyAlignment="1">
      <alignment horizontal="right"/>
    </xf>
    <xf numFmtId="0" fontId="21" fillId="0" borderId="7" xfId="0" applyNumberFormat="1" applyFont="1" applyBorder="1"/>
    <xf numFmtId="0" fontId="21" fillId="0" borderId="25" xfId="0" applyNumberFormat="1" applyFont="1" applyBorder="1"/>
    <xf numFmtId="0" fontId="8" fillId="0" borderId="6" xfId="0" quotePrefix="1" applyFont="1" applyFill="1" applyBorder="1"/>
    <xf numFmtId="0" fontId="8" fillId="0" borderId="6" xfId="0" quotePrefix="1" applyFont="1" applyFill="1" applyBorder="1" applyAlignment="1">
      <alignment horizontal="right"/>
    </xf>
    <xf numFmtId="165" fontId="8" fillId="0" borderId="27" xfId="0" applyNumberFormat="1" applyFont="1" applyFill="1" applyBorder="1" applyAlignment="1">
      <alignment horizontal="right"/>
    </xf>
    <xf numFmtId="0" fontId="11" fillId="0" borderId="25" xfId="0" applyNumberFormat="1" applyFont="1" applyBorder="1"/>
    <xf numFmtId="0" fontId="8" fillId="0" borderId="6" xfId="0" quotePrefix="1" applyFont="1" applyBorder="1"/>
    <xf numFmtId="0" fontId="8" fillId="0" borderId="6" xfId="0" applyNumberFormat="1" applyFont="1" applyFill="1" applyBorder="1" applyAlignment="1">
      <alignment horizontal="right"/>
    </xf>
    <xf numFmtId="168" fontId="8" fillId="0" borderId="27" xfId="0" applyNumberFormat="1" applyFont="1" applyFill="1" applyBorder="1" applyAlignment="1">
      <alignment horizontal="right"/>
    </xf>
    <xf numFmtId="0" fontId="10" fillId="0" borderId="0" xfId="0" applyNumberFormat="1" applyFont="1"/>
    <xf numFmtId="43" fontId="2" fillId="0" borderId="0" xfId="0" applyNumberFormat="1" applyFont="1" applyBorder="1"/>
    <xf numFmtId="0" fontId="2" fillId="0" borderId="0" xfId="0" applyFont="1" applyBorder="1"/>
    <xf numFmtId="0" fontId="2" fillId="0" borderId="0" xfId="0" applyFont="1"/>
    <xf numFmtId="165" fontId="4" fillId="0" borderId="0" xfId="0" applyNumberFormat="1" applyFont="1" applyFill="1"/>
    <xf numFmtId="165" fontId="2" fillId="0" borderId="0" xfId="0" applyNumberFormat="1" applyFont="1"/>
    <xf numFmtId="0" fontId="22" fillId="0" borderId="0" xfId="0" applyFont="1" applyBorder="1"/>
    <xf numFmtId="0" fontId="23" fillId="0" borderId="0" xfId="0" applyFont="1"/>
    <xf numFmtId="0" fontId="24" fillId="0" borderId="0" xfId="0" applyFont="1" applyFill="1"/>
    <xf numFmtId="164" fontId="4" fillId="0" borderId="0" xfId="1" applyFont="1" applyFill="1"/>
    <xf numFmtId="164" fontId="4" fillId="0" borderId="0" xfId="1" applyFont="1"/>
    <xf numFmtId="165" fontId="4" fillId="0" borderId="0" xfId="1" applyNumberFormat="1" applyFont="1" applyFill="1"/>
    <xf numFmtId="165" fontId="4" fillId="0" borderId="0" xfId="1" applyNumberFormat="1" applyFont="1"/>
    <xf numFmtId="180" fontId="4" fillId="0" borderId="0" xfId="1" applyNumberFormat="1" applyFont="1" applyFill="1"/>
    <xf numFmtId="165" fontId="2" fillId="0" borderId="0" xfId="1" applyNumberFormat="1" applyFont="1" applyFill="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7" fontId="6" fillId="0" borderId="9" xfId="0" quotePrefix="1" applyNumberFormat="1" applyFont="1" applyFill="1" applyBorder="1" applyAlignment="1">
      <alignment horizontal="center"/>
    </xf>
    <xf numFmtId="17" fontId="6" fillId="0" borderId="10" xfId="0" quotePrefix="1" applyNumberFormat="1" applyFont="1" applyFill="1" applyBorder="1" applyAlignment="1">
      <alignment horizontal="center"/>
    </xf>
    <xf numFmtId="17" fontId="6" fillId="0" borderId="11" xfId="0" quotePrefix="1" applyNumberFormat="1" applyFont="1" applyFill="1" applyBorder="1" applyAlignment="1">
      <alignment horizontal="center"/>
    </xf>
    <xf numFmtId="165" fontId="11" fillId="0" borderId="0" xfId="0" applyNumberFormat="1" applyFont="1" applyFill="1" applyBorder="1" applyAlignment="1">
      <alignment horizontal="left"/>
    </xf>
    <xf numFmtId="165" fontId="11" fillId="0" borderId="24" xfId="0" applyNumberFormat="1" applyFont="1" applyFill="1" applyBorder="1" applyAlignment="1">
      <alignment horizontal="left"/>
    </xf>
    <xf numFmtId="165" fontId="6" fillId="0" borderId="9" xfId="0" quotePrefix="1" applyNumberFormat="1" applyFont="1" applyFill="1" applyBorder="1" applyAlignment="1">
      <alignment horizontal="center"/>
    </xf>
    <xf numFmtId="165" fontId="6" fillId="0" borderId="10" xfId="0" quotePrefix="1" applyNumberFormat="1" applyFont="1" applyFill="1" applyBorder="1" applyAlignment="1">
      <alignment horizontal="center"/>
    </xf>
    <xf numFmtId="165" fontId="8" fillId="0" borderId="0" xfId="0" applyNumberFormat="1" applyFont="1" applyFill="1" applyBorder="1" applyAlignment="1">
      <alignment horizontal="left"/>
    </xf>
    <xf numFmtId="165" fontId="8" fillId="0" borderId="24" xfId="0" applyNumberFormat="1" applyFont="1" applyFill="1" applyBorder="1" applyAlignment="1">
      <alignment horizontal="left"/>
    </xf>
    <xf numFmtId="165" fontId="8" fillId="0" borderId="0" xfId="0" applyNumberFormat="1" applyFont="1" applyFill="1" applyBorder="1" applyAlignment="1"/>
    <xf numFmtId="0" fontId="0" fillId="0" borderId="0" xfId="0" applyFill="1" applyAlignment="1"/>
    <xf numFmtId="0" fontId="0" fillId="0" borderId="24" xfId="0" applyFill="1" applyBorder="1" applyAlignment="1"/>
    <xf numFmtId="165" fontId="10" fillId="0" borderId="0" xfId="0" applyNumberFormat="1" applyFont="1" applyFill="1" applyAlignment="1">
      <alignment horizontal="left"/>
    </xf>
    <xf numFmtId="165" fontId="6" fillId="0" borderId="0" xfId="0" applyNumberFormat="1" applyFont="1" applyFill="1" applyBorder="1" applyAlignment="1">
      <alignment horizontal="left"/>
    </xf>
    <xf numFmtId="165" fontId="6" fillId="0" borderId="43" xfId="0" applyNumberFormat="1" applyFont="1" applyFill="1" applyBorder="1" applyAlignment="1">
      <alignment horizontal="left" vertical="top"/>
    </xf>
    <xf numFmtId="165" fontId="6" fillId="0" borderId="44" xfId="0" applyNumberFormat="1" applyFont="1" applyFill="1" applyBorder="1" applyAlignment="1">
      <alignment horizontal="left" vertical="top"/>
    </xf>
    <xf numFmtId="165" fontId="8" fillId="0" borderId="7" xfId="0" applyNumberFormat="1" applyFont="1" applyFill="1" applyBorder="1" applyAlignment="1">
      <alignment horizontal="left" indent="1"/>
    </xf>
    <xf numFmtId="165" fontId="8" fillId="0" borderId="0" xfId="0" applyNumberFormat="1" applyFont="1" applyFill="1" applyBorder="1" applyAlignment="1">
      <alignment horizontal="left" indent="1"/>
    </xf>
    <xf numFmtId="165" fontId="8" fillId="0" borderId="24" xfId="0" applyNumberFormat="1" applyFont="1" applyFill="1" applyBorder="1" applyAlignment="1">
      <alignment horizontal="left" indent="1"/>
    </xf>
    <xf numFmtId="165" fontId="8" fillId="0" borderId="7" xfId="0" applyNumberFormat="1" applyFont="1" applyFill="1" applyBorder="1" applyAlignment="1">
      <alignment horizontal="left"/>
    </xf>
    <xf numFmtId="165" fontId="8" fillId="0" borderId="16" xfId="0" applyNumberFormat="1" applyFont="1" applyFill="1" applyBorder="1" applyAlignment="1">
      <alignment horizontal="left"/>
    </xf>
    <xf numFmtId="165" fontId="8" fillId="0" borderId="17" xfId="0" applyNumberFormat="1" applyFont="1" applyFill="1" applyBorder="1" applyAlignment="1">
      <alignment horizontal="left"/>
    </xf>
    <xf numFmtId="165" fontId="8" fillId="0" borderId="20" xfId="0" applyNumberFormat="1" applyFont="1" applyFill="1" applyBorder="1" applyAlignment="1">
      <alignment horizontal="left"/>
    </xf>
    <xf numFmtId="165" fontId="10" fillId="0" borderId="30" xfId="0" applyNumberFormat="1" applyFont="1" applyFill="1" applyBorder="1" applyAlignment="1">
      <alignment horizontal="left"/>
    </xf>
    <xf numFmtId="37" fontId="8" fillId="0" borderId="0" xfId="0" applyNumberFormat="1" applyFont="1" applyAlignment="1">
      <alignment horizontal="left"/>
    </xf>
    <xf numFmtId="0" fontId="6" fillId="0" borderId="9" xfId="0" quotePrefix="1" applyFont="1" applyBorder="1" applyAlignment="1">
      <alignment horizontal="center"/>
    </xf>
    <xf numFmtId="0" fontId="0" fillId="0" borderId="10" xfId="0" applyBorder="1"/>
    <xf numFmtId="0" fontId="0" fillId="0" borderId="48" xfId="0" applyBorder="1"/>
    <xf numFmtId="0" fontId="6" fillId="0" borderId="49"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6" fillId="0" borderId="50" xfId="0" applyFont="1" applyBorder="1" applyAlignment="1">
      <alignment horizontal="center"/>
    </xf>
    <xf numFmtId="0" fontId="0" fillId="0" borderId="52" xfId="0" applyBorder="1" applyAlignment="1">
      <alignment horizontal="center"/>
    </xf>
    <xf numFmtId="165" fontId="6" fillId="0" borderId="10" xfId="0" applyNumberFormat="1" applyFont="1" applyFill="1" applyBorder="1" applyAlignment="1">
      <alignment horizontal="center"/>
    </xf>
    <xf numFmtId="0" fontId="6" fillId="0" borderId="17" xfId="0" quotePrefix="1" applyFont="1" applyFill="1" applyBorder="1" applyAlignment="1">
      <alignment horizontal="center"/>
    </xf>
    <xf numFmtId="0" fontId="6" fillId="0" borderId="17" xfId="0" applyFont="1" applyFill="1" applyBorder="1" applyAlignment="1">
      <alignment horizontal="center"/>
    </xf>
    <xf numFmtId="165" fontId="6" fillId="0" borderId="17" xfId="0" applyNumberFormat="1" applyFont="1" applyFill="1" applyBorder="1" applyAlignment="1">
      <alignment horizontal="center"/>
    </xf>
    <xf numFmtId="165" fontId="6" fillId="0" borderId="30" xfId="0" quotePrefix="1" applyNumberFormat="1" applyFont="1" applyFill="1" applyBorder="1" applyAlignment="1">
      <alignment horizontal="center"/>
    </xf>
    <xf numFmtId="165" fontId="6" fillId="0" borderId="30" xfId="0" applyNumberFormat="1" applyFont="1" applyFill="1" applyBorder="1" applyAlignment="1">
      <alignment horizontal="center"/>
    </xf>
    <xf numFmtId="165" fontId="10" fillId="0" borderId="30" xfId="0" quotePrefix="1" applyNumberFormat="1" applyFont="1" applyFill="1" applyBorder="1" applyAlignment="1">
      <alignment horizontal="left"/>
    </xf>
    <xf numFmtId="0" fontId="6" fillId="0" borderId="9" xfId="0" quotePrefix="1"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cellXfs>
  <cellStyles count="9">
    <cellStyle name="Comma" xfId="1" builtinId="3"/>
    <cellStyle name="Comma 13" xfId="7"/>
    <cellStyle name="Comma 16 2" xfId="6"/>
    <cellStyle name="Comma 2 2" xfId="3"/>
    <cellStyle name="Comma 35" xfId="5"/>
    <cellStyle name="Normal" xfId="0" builtinId="0"/>
    <cellStyle name="Normal 2" xfId="2"/>
    <cellStyle name="Normal 4" xfId="8"/>
    <cellStyle name="Normal 5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76" Type="http://schemas.openxmlformats.org/officeDocument/2006/relationships/externalLink" Target="externalLinks/externalLink65.xml"/><Relationship Id="rId84" Type="http://schemas.openxmlformats.org/officeDocument/2006/relationships/externalLink" Target="externalLinks/externalLink73.xml"/><Relationship Id="rId7" Type="http://schemas.openxmlformats.org/officeDocument/2006/relationships/worksheet" Target="worksheets/sheet7.xml"/><Relationship Id="rId71" Type="http://schemas.openxmlformats.org/officeDocument/2006/relationships/externalLink" Target="externalLinks/externalLink60.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74" Type="http://schemas.openxmlformats.org/officeDocument/2006/relationships/externalLink" Target="externalLinks/externalLink63.xml"/><Relationship Id="rId79" Type="http://schemas.openxmlformats.org/officeDocument/2006/relationships/externalLink" Target="externalLinks/externalLink68.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externalLink" Target="externalLinks/externalLink66.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80" Type="http://schemas.openxmlformats.org/officeDocument/2006/relationships/externalLink" Target="externalLinks/externalLink69.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83" Type="http://schemas.openxmlformats.org/officeDocument/2006/relationships/externalLink" Target="externalLinks/externalLink72.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81" Type="http://schemas.openxmlformats.org/officeDocument/2006/relationships/externalLink" Target="externalLinks/externalLink70.xml"/><Relationship Id="rId86"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r%20Branch%20Information/Section%2032%20Report/2020-2021/11.%20FEBRUARY/Table%201/Table%201%20February%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1/Table%201%20December%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1/Table%201%20-%20March%202021yt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nter%20Branch%20Information/Section%2032%20Report/2020-2021/11.%20FEBRUARY/Table%202/Table%202%20C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2/Table%202%20C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2/Table%202%20C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2/Table%202%20C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2/Table%202%20C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2/Table%202%20C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2/Table%202%20C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2/Table%202%20C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1/Table%201%20April%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2/Table%202%20CY.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2/Table%202%20CY.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Inter%20Branch%20Information/Section%2032%20Report/2020-2021/10.%20JANUARY/Table%202/Table%202%20CY.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2/Table%202%20C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2/Table%202%20P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Inter%20Branch%20Information/Section%2032%20Report/2019-2020/06.SEP/Table%202/Table%202%20C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2/Table%202%20CY.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nter%20Branch%20Information/Section%2032%20Report/2020-2021/11.%20FEBRUARY/Table%203/statement%2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3/statement%2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3/statement%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1/Table%201%20-%20March%2020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3/statement%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3/statement%2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3/statement%2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3/statement%2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3/statement%203%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3/statement%2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3/statement%2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Inter%20Branch%20Information/Section%2032%20Report/2020-2021/10.%20JANUARY/Table%203/statement%2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3/statement%2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3/statement%203%20-%20YT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1/Table%201%20June%2020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Inter%20Branch%20Information/Section%2032%20Report/2020-2021/11.%20FEBRUARY/Table%205/Additional%20Informatio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5/Additional%20Informatio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5/Additional%20Informatio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5/Additional%20Inform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5/Additional%20Informatio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5/Additional%20Informat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5/Additional%20Informatio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5/Additional%20Inform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5/Additional%20Informati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5/Additional%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1/Table%201%20July%2020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Inter%20Branch%20Information/Section%2032%20Report/2020-2021/10.%20JANUARY/Table%205/Additional%20Inform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5/Additional%20Information%20-%20YT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BR_Accountant-General\3.%20CD_National%20Accounts\D.%20Directorates\D5.%20D_NRF%20and%20ASB\xiii.%20Exchequer%20Management\2017-2018\Financial%20Statements\FINAL\FINAL%20AFS%202017-18%2004%20October%202018%2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4/Recon%20statement%20.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4/Recon%20statement.xlsm"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4/Recon%20statement.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4/Recon%20statement.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4/Recon%20statement.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4/Recon%20statement.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4/Recon%20statem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1/Table%201%20August%2020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4/Recon%20statement.xlsm"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4/Recon%20statement.xlsm"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4/Recon%20statement%20%20-%20YTD.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4/Recon%20statement%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Inter%20Branch%20Information/Section%2032%20Report/2019-2020/10.%20JAN/Table%204/Recon%20statement%20.xlsm"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Inter%20Branch%20Information/Section%2032%20Report/2019-2020/11.%20FEB/Table%204/Recon%20statement%20.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Inter%20Branch%20Information/Section%2032%20Report/2020-2021/12.%20MARCH/Table%205/Additional%20Informati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BR_Accountant-General/3.%20CD_National%20Accounts/D.%20Directorates/D5.%20D_NRF%20and%20ASB/xiii.%20Exchequer%20Management/2020-2021/Exchequer%20Statements/Exchequer%20issues%202020-202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3309\AppData\Local\Microsoft\Windows\INetCache\Content.Outlook\6Y7I356U\Exchequer%20issues%202020-202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3/statement%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1/Table%201%20September%202020.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3/statement%203%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Inter%20Branch%20Information/Section%2032%20Report/2018-2019/APRIL%202018/Table%203/statement%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Inter%20Branch%20Information/Section%2032%20Report/2018-2019/MAY%202018/Table%203/statement%20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Inter%20Branch%20Information/Section%2032%20Report/2017-2018/March%202018/Table%203/statement%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1/Table%201%20October%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1/Table%201%20Nov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H114">
            <v>1200785660.997653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Q114">
            <v>176370693.76949999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R114">
            <v>87529069.714939982</v>
          </cell>
          <cell r="S114">
            <v>132692829.92872997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I48">
            <v>1025349737</v>
          </cell>
          <cell r="BL48">
            <v>71862220</v>
          </cell>
        </row>
        <row r="51">
          <cell r="I51">
            <v>7715</v>
          </cell>
          <cell r="BL51">
            <v>475</v>
          </cell>
        </row>
        <row r="52">
          <cell r="I52">
            <v>476474</v>
          </cell>
          <cell r="BL52">
            <v>32263</v>
          </cell>
        </row>
        <row r="53">
          <cell r="I53">
            <v>233027798</v>
          </cell>
          <cell r="BL53">
            <v>32103379.975990001</v>
          </cell>
        </row>
        <row r="56">
          <cell r="I56">
            <v>520717021</v>
          </cell>
          <cell r="BL56">
            <v>38954457</v>
          </cell>
        </row>
        <row r="57">
          <cell r="I57">
            <v>14026878</v>
          </cell>
          <cell r="BL57">
            <v>0</v>
          </cell>
        </row>
        <row r="58">
          <cell r="I58">
            <v>177615</v>
          </cell>
          <cell r="BL58">
            <v>410372</v>
          </cell>
        </row>
        <row r="59">
          <cell r="I59">
            <v>120001</v>
          </cell>
          <cell r="BL59">
            <v>50000</v>
          </cell>
        </row>
        <row r="61">
          <cell r="I61">
            <v>217761</v>
          </cell>
        </row>
        <row r="65">
          <cell r="BK65"/>
        </row>
        <row r="66">
          <cell r="I66">
            <v>10174611</v>
          </cell>
          <cell r="BL66">
            <v>1635698</v>
          </cell>
        </row>
        <row r="67">
          <cell r="I67">
            <v>2442459</v>
          </cell>
          <cell r="BL67">
            <v>176525</v>
          </cell>
        </row>
        <row r="68">
          <cell r="I68">
            <v>1117931</v>
          </cell>
          <cell r="BL68">
            <v>83684</v>
          </cell>
        </row>
        <row r="69">
          <cell r="I69">
            <v>10997</v>
          </cell>
          <cell r="BL69">
            <v>0</v>
          </cell>
        </row>
        <row r="73">
          <cell r="I73">
            <v>-3692917</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N48">
            <v>63165298</v>
          </cell>
        </row>
        <row r="51">
          <cell r="N51">
            <v>475</v>
          </cell>
        </row>
        <row r="52">
          <cell r="N52">
            <v>42263</v>
          </cell>
        </row>
        <row r="53">
          <cell r="N53">
            <v>4156462.4270000001</v>
          </cell>
        </row>
        <row r="56">
          <cell r="N56">
            <v>44872627</v>
          </cell>
        </row>
        <row r="57">
          <cell r="N57">
            <v>0</v>
          </cell>
        </row>
        <row r="58">
          <cell r="N58">
            <v>18</v>
          </cell>
        </row>
        <row r="59">
          <cell r="N59">
            <v>0</v>
          </cell>
        </row>
        <row r="60">
          <cell r="N60">
            <v>1745798</v>
          </cell>
        </row>
        <row r="61">
          <cell r="N61">
            <v>186187</v>
          </cell>
        </row>
        <row r="62">
          <cell r="N62">
            <v>83069</v>
          </cell>
        </row>
        <row r="63">
          <cell r="N63">
            <v>0</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S48">
            <v>71995377</v>
          </cell>
        </row>
        <row r="51">
          <cell r="S51">
            <v>475</v>
          </cell>
        </row>
        <row r="52">
          <cell r="S52">
            <v>42263</v>
          </cell>
        </row>
        <row r="53">
          <cell r="S53">
            <v>1746959.1300000001</v>
          </cell>
        </row>
        <row r="56">
          <cell r="S56">
            <v>44872627</v>
          </cell>
        </row>
        <row r="57">
          <cell r="S57">
            <v>0</v>
          </cell>
        </row>
        <row r="58">
          <cell r="S58">
            <v>111334</v>
          </cell>
        </row>
        <row r="59">
          <cell r="S59">
            <v>0</v>
          </cell>
        </row>
        <row r="60">
          <cell r="S60">
            <v>1447692</v>
          </cell>
        </row>
        <row r="61">
          <cell r="S61">
            <v>179319</v>
          </cell>
        </row>
        <row r="62">
          <cell r="S62">
            <v>79480</v>
          </cell>
        </row>
        <row r="63">
          <cell r="S63">
            <v>0</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X48">
            <v>61212482</v>
          </cell>
        </row>
        <row r="51">
          <cell r="X51">
            <v>475</v>
          </cell>
        </row>
        <row r="52">
          <cell r="X52">
            <v>42263</v>
          </cell>
        </row>
        <row r="53">
          <cell r="X53">
            <v>23287136</v>
          </cell>
        </row>
        <row r="56">
          <cell r="X56">
            <v>44872627</v>
          </cell>
        </row>
        <row r="57">
          <cell r="X57">
            <v>0</v>
          </cell>
        </row>
        <row r="58">
          <cell r="X58">
            <v>2</v>
          </cell>
        </row>
        <row r="59">
          <cell r="X59">
            <v>40000</v>
          </cell>
        </row>
        <row r="60">
          <cell r="X60">
            <v>1118322</v>
          </cell>
        </row>
        <row r="61">
          <cell r="X61">
            <v>174148</v>
          </cell>
        </row>
        <row r="62">
          <cell r="X62">
            <v>102829</v>
          </cell>
        </row>
        <row r="63">
          <cell r="X63">
            <v>0</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C48">
            <v>118355901</v>
          </cell>
        </row>
        <row r="51">
          <cell r="AC51">
            <v>475</v>
          </cell>
        </row>
        <row r="52">
          <cell r="AC52">
            <v>42263</v>
          </cell>
        </row>
        <row r="53">
          <cell r="AC53">
            <v>33793248</v>
          </cell>
        </row>
        <row r="56">
          <cell r="AC56">
            <v>44872627</v>
          </cell>
        </row>
        <row r="57">
          <cell r="AC57">
            <v>0</v>
          </cell>
        </row>
        <row r="58">
          <cell r="AC58">
            <v>0</v>
          </cell>
        </row>
        <row r="59">
          <cell r="AC59">
            <v>0</v>
          </cell>
        </row>
        <row r="60">
          <cell r="AC60">
            <v>54518</v>
          </cell>
        </row>
        <row r="61">
          <cell r="AC61">
            <v>175874</v>
          </cell>
        </row>
        <row r="62">
          <cell r="AC62">
            <v>81055</v>
          </cell>
        </row>
        <row r="63">
          <cell r="AC63">
            <v>0</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H48">
            <v>82985001</v>
          </cell>
        </row>
        <row r="51">
          <cell r="AH51">
            <v>475</v>
          </cell>
        </row>
        <row r="52">
          <cell r="AH52">
            <v>42263</v>
          </cell>
        </row>
        <row r="53">
          <cell r="AH53">
            <v>32588390.123</v>
          </cell>
        </row>
        <row r="56">
          <cell r="AH56">
            <v>44872627</v>
          </cell>
        </row>
        <row r="57">
          <cell r="AH57">
            <v>4675628</v>
          </cell>
        </row>
        <row r="58">
          <cell r="AH58">
            <v>1</v>
          </cell>
        </row>
        <row r="59">
          <cell r="AH59">
            <v>0</v>
          </cell>
        </row>
        <row r="60">
          <cell r="AH60">
            <v>92107</v>
          </cell>
        </row>
        <row r="61">
          <cell r="AH61">
            <v>176338</v>
          </cell>
        </row>
        <row r="62">
          <cell r="AH62">
            <v>96112</v>
          </cell>
        </row>
        <row r="63">
          <cell r="AH63">
            <v>0</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M48">
            <v>75682961</v>
          </cell>
        </row>
        <row r="51">
          <cell r="AM51">
            <v>475</v>
          </cell>
        </row>
        <row r="52">
          <cell r="AM52">
            <v>42263</v>
          </cell>
        </row>
        <row r="53">
          <cell r="AM53">
            <v>20719704.243000001</v>
          </cell>
        </row>
        <row r="56">
          <cell r="AM56">
            <v>44872627</v>
          </cell>
        </row>
        <row r="57">
          <cell r="AM57">
            <v>0</v>
          </cell>
        </row>
        <row r="58">
          <cell r="AM58">
            <v>66260</v>
          </cell>
        </row>
        <row r="59">
          <cell r="AM59">
            <v>30000</v>
          </cell>
        </row>
        <row r="60">
          <cell r="A60" t="str">
            <v>Other payments</v>
          </cell>
        </row>
        <row r="62">
          <cell r="B62" t="str">
            <v xml:space="preserve">South African Express Airways </v>
          </cell>
          <cell r="AL62">
            <v>143395</v>
          </cell>
        </row>
        <row r="63">
          <cell r="B63" t="str">
            <v>Land and Agricultural Development Bank of SA</v>
          </cell>
          <cell r="AL63">
            <v>74366</v>
          </cell>
        </row>
        <row r="65">
          <cell r="AL65">
            <v>6571667</v>
          </cell>
        </row>
        <row r="66">
          <cell r="AM66">
            <v>75474</v>
          </cell>
        </row>
        <row r="67">
          <cell r="AM67">
            <v>181726</v>
          </cell>
        </row>
        <row r="68">
          <cell r="AM68">
            <v>85139</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R48">
            <v>84022361</v>
          </cell>
        </row>
        <row r="53">
          <cell r="AR53">
            <v>3593963.963</v>
          </cell>
        </row>
        <row r="56">
          <cell r="AR56">
            <v>44872627</v>
          </cell>
        </row>
        <row r="57">
          <cell r="AR57">
            <v>0</v>
          </cell>
        </row>
        <row r="66">
          <cell r="AR66">
            <v>169312</v>
          </cell>
        </row>
        <row r="73">
          <cell r="A73" t="str">
            <v>National government projected underspending</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I114">
            <v>63095740.380769998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W48">
            <v>71737880</v>
          </cell>
        </row>
        <row r="51">
          <cell r="AW51">
            <v>475</v>
          </cell>
        </row>
        <row r="52">
          <cell r="AW52">
            <v>42263</v>
          </cell>
        </row>
        <row r="53">
          <cell r="AW53">
            <v>2242145.0050000004</v>
          </cell>
        </row>
        <row r="56">
          <cell r="AW56">
            <v>44872626</v>
          </cell>
        </row>
        <row r="57">
          <cell r="AW57">
            <v>0</v>
          </cell>
        </row>
        <row r="66">
          <cell r="AW66">
            <v>1460680</v>
          </cell>
        </row>
        <row r="67">
          <cell r="AW67">
            <v>180189</v>
          </cell>
        </row>
        <row r="68">
          <cell r="AW68">
            <v>85222</v>
          </cell>
        </row>
        <row r="69">
          <cell r="AW69">
            <v>0</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BB48">
            <v>103042121</v>
          </cell>
        </row>
        <row r="51">
          <cell r="I51">
            <v>7715</v>
          </cell>
          <cell r="BB51">
            <v>475</v>
          </cell>
        </row>
        <row r="52">
          <cell r="I52">
            <v>476474</v>
          </cell>
          <cell r="BB52">
            <v>42263</v>
          </cell>
        </row>
        <row r="53">
          <cell r="I53">
            <v>233027798</v>
          </cell>
          <cell r="BB53">
            <v>23505078</v>
          </cell>
        </row>
        <row r="56">
          <cell r="I56">
            <v>520717021</v>
          </cell>
          <cell r="BB56">
            <v>44872625</v>
          </cell>
        </row>
        <row r="57">
          <cell r="I57">
            <v>14026878</v>
          </cell>
          <cell r="BB57">
            <v>4675628</v>
          </cell>
        </row>
        <row r="58">
          <cell r="I58">
            <v>177615</v>
          </cell>
          <cell r="BB58">
            <v>2</v>
          </cell>
        </row>
        <row r="59">
          <cell r="I59">
            <v>120001</v>
          </cell>
        </row>
        <row r="62">
          <cell r="H62">
            <v>143395</v>
          </cell>
        </row>
        <row r="63">
          <cell r="H63">
            <v>74366</v>
          </cell>
        </row>
        <row r="65">
          <cell r="BA65">
            <v>-6571667</v>
          </cell>
        </row>
        <row r="66">
          <cell r="I66">
            <v>10174611</v>
          </cell>
          <cell r="BB66">
            <v>1486244</v>
          </cell>
        </row>
        <row r="67">
          <cell r="I67">
            <v>2442459</v>
          </cell>
          <cell r="BB67">
            <v>178719</v>
          </cell>
        </row>
        <row r="68">
          <cell r="I68">
            <v>1117931</v>
          </cell>
          <cell r="BB68">
            <v>87887</v>
          </cell>
        </row>
        <row r="69">
          <cell r="I69">
            <v>10997</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BG48">
            <v>89092970</v>
          </cell>
        </row>
        <row r="51">
          <cell r="BG51">
            <v>475</v>
          </cell>
        </row>
        <row r="52">
          <cell r="BG52">
            <v>32263</v>
          </cell>
        </row>
        <row r="53">
          <cell r="BG53">
            <v>33703384.236999996</v>
          </cell>
        </row>
        <row r="56">
          <cell r="BG56">
            <v>38954457</v>
          </cell>
        </row>
        <row r="58">
          <cell r="BG58">
            <v>8</v>
          </cell>
        </row>
        <row r="66">
          <cell r="BG66">
            <v>1665558</v>
          </cell>
        </row>
        <row r="67">
          <cell r="BG67">
            <v>177718</v>
          </cell>
        </row>
        <row r="68">
          <cell r="BG68">
            <v>84987</v>
          </cell>
        </row>
        <row r="69">
          <cell r="BG69">
            <v>0</v>
          </cell>
        </row>
      </sheetData>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BQ48">
            <v>110219519</v>
          </cell>
        </row>
        <row r="51">
          <cell r="BQ51">
            <v>475</v>
          </cell>
        </row>
        <row r="52">
          <cell r="BQ52">
            <v>31581</v>
          </cell>
        </row>
        <row r="53">
          <cell r="BQ53">
            <v>21155807</v>
          </cell>
        </row>
        <row r="56">
          <cell r="BQ56">
            <v>38954467</v>
          </cell>
        </row>
        <row r="57">
          <cell r="BQ57">
            <v>4675622</v>
          </cell>
        </row>
        <row r="58">
          <cell r="BQ58">
            <v>86</v>
          </cell>
        </row>
        <row r="66">
          <cell r="BQ66">
            <v>1461571</v>
          </cell>
        </row>
        <row r="67">
          <cell r="BQ67">
            <v>183834</v>
          </cell>
        </row>
        <row r="68">
          <cell r="BQ68">
            <v>92360</v>
          </cell>
        </row>
        <row r="69">
          <cell r="BQ69">
            <v>0</v>
          </cell>
        </row>
      </sheetData>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ow r="58">
          <cell r="A58" t="str">
            <v>Eskom - payment in terms of Section 16(1) of the PFMA</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efreshError="1">
        <row r="61">
          <cell r="A61" t="str">
            <v>South African Express Airways</v>
          </cell>
        </row>
        <row r="62">
          <cell r="A62" t="str">
            <v xml:space="preserve">Denel </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7">
          <cell r="AR7">
            <v>33186</v>
          </cell>
        </row>
        <row r="51">
          <cell r="AR51">
            <v>475</v>
          </cell>
        </row>
        <row r="52">
          <cell r="AR52">
            <v>42263</v>
          </cell>
        </row>
        <row r="58">
          <cell r="AR58">
            <v>260</v>
          </cell>
        </row>
        <row r="67">
          <cell r="AR67">
            <v>176493</v>
          </cell>
        </row>
        <row r="68">
          <cell r="AR68">
            <v>82090</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H13">
            <v>97183520</v>
          </cell>
          <cell r="BK13">
            <v>-13560314</v>
          </cell>
        </row>
        <row r="23">
          <cell r="H23">
            <v>465992000</v>
          </cell>
          <cell r="BK23">
            <v>42446719</v>
          </cell>
        </row>
        <row r="25">
          <cell r="H25">
            <v>591023575</v>
          </cell>
          <cell r="BK25">
            <v>49399464</v>
          </cell>
        </row>
        <row r="26">
          <cell r="H26">
            <v>-72524000</v>
          </cell>
          <cell r="BK26">
            <v>-6713436</v>
          </cell>
        </row>
        <row r="27">
          <cell r="H27">
            <v>-52465000</v>
          </cell>
          <cell r="BK27">
            <v>-281023</v>
          </cell>
        </row>
        <row r="31">
          <cell r="H31">
            <v>5243353</v>
          </cell>
          <cell r="BK31">
            <v>7577210</v>
          </cell>
        </row>
        <row r="32">
          <cell r="H32">
            <v>-405928</v>
          </cell>
          <cell r="BK32">
            <v>-730496</v>
          </cell>
        </row>
        <row r="33">
          <cell r="H33">
            <v>-4880000</v>
          </cell>
          <cell r="BK33">
            <v>-6805000</v>
          </cell>
        </row>
        <row r="36">
          <cell r="H36">
            <v>1028268</v>
          </cell>
          <cell r="BK36">
            <v>1279237</v>
          </cell>
        </row>
        <row r="37">
          <cell r="H37">
            <v>-1028268</v>
          </cell>
          <cell r="BK37">
            <v>-1279237</v>
          </cell>
        </row>
        <row r="44">
          <cell r="H44">
            <v>92653000</v>
          </cell>
          <cell r="BK44">
            <v>0</v>
          </cell>
        </row>
        <row r="46">
          <cell r="H46">
            <v>107070000</v>
          </cell>
          <cell r="BK46">
            <v>0</v>
          </cell>
        </row>
        <row r="49">
          <cell r="H49">
            <v>-7961000</v>
          </cell>
          <cell r="BK49">
            <v>0</v>
          </cell>
        </row>
        <row r="50">
          <cell r="H50">
            <v>-6456000</v>
          </cell>
          <cell r="BK50">
            <v>0</v>
          </cell>
        </row>
        <row r="67">
          <cell r="H67">
            <v>-52440099.997653</v>
          </cell>
        </row>
        <row r="70">
          <cell r="H70">
            <v>0</v>
          </cell>
          <cell r="BK70">
            <v>-1550683</v>
          </cell>
        </row>
        <row r="71">
          <cell r="H71">
            <v>0</v>
          </cell>
          <cell r="BK71">
            <v>0</v>
          </cell>
        </row>
        <row r="72">
          <cell r="H72">
            <v>6516232.0023469981</v>
          </cell>
          <cell r="BK72">
            <v>1022787</v>
          </cell>
        </row>
        <row r="73">
          <cell r="H73">
            <v>0</v>
          </cell>
          <cell r="BK73">
            <v>0</v>
          </cell>
        </row>
      </sheetData>
      <sheetData sheetId="1"/>
      <sheetData sheetId="2"/>
      <sheetData sheetId="3"/>
      <sheetData sheetId="4">
        <row r="18">
          <cell r="H18">
            <v>160266000</v>
          </cell>
          <cell r="BK18">
            <v>141649872</v>
          </cell>
        </row>
        <row r="19">
          <cell r="H19">
            <v>134352000</v>
          </cell>
          <cell r="BK19">
            <v>248701670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M13">
            <v>37582688</v>
          </cell>
        </row>
        <row r="23">
          <cell r="M23">
            <v>32850713</v>
          </cell>
        </row>
        <row r="25">
          <cell r="M25">
            <v>38350619</v>
          </cell>
        </row>
        <row r="26">
          <cell r="M26">
            <v>-4299769</v>
          </cell>
        </row>
        <row r="28">
          <cell r="M28">
            <v>-1200137</v>
          </cell>
        </row>
        <row r="32">
          <cell r="M32">
            <v>0</v>
          </cell>
        </row>
        <row r="33">
          <cell r="M33">
            <v>0</v>
          </cell>
        </row>
        <row r="34">
          <cell r="M34">
            <v>0</v>
          </cell>
        </row>
        <row r="37">
          <cell r="M37">
            <v>487336</v>
          </cell>
        </row>
        <row r="38">
          <cell r="M38">
            <v>-487336</v>
          </cell>
        </row>
        <row r="45">
          <cell r="M45">
            <v>-777665</v>
          </cell>
        </row>
        <row r="47">
          <cell r="M47">
            <v>0</v>
          </cell>
        </row>
        <row r="48">
          <cell r="M48">
            <v>0</v>
          </cell>
        </row>
        <row r="50">
          <cell r="M50">
            <v>-391647</v>
          </cell>
        </row>
        <row r="51">
          <cell r="M51">
            <v>-386018</v>
          </cell>
        </row>
        <row r="68">
          <cell r="M68">
            <v>-18499278.953769997</v>
          </cell>
        </row>
        <row r="71">
          <cell r="M71">
            <v>34143659</v>
          </cell>
        </row>
        <row r="72">
          <cell r="M72">
            <v>0</v>
          </cell>
        </row>
        <row r="73">
          <cell r="M73">
            <v>0</v>
          </cell>
        </row>
        <row r="74">
          <cell r="M74">
            <v>0</v>
          </cell>
        </row>
      </sheetData>
      <sheetData sheetId="1"/>
      <sheetData sheetId="2"/>
      <sheetData sheetId="3"/>
      <sheetData sheetId="4">
        <row r="18">
          <cell r="M18">
            <v>188398825</v>
          </cell>
        </row>
        <row r="19">
          <cell r="M19">
            <v>65747013</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R13">
            <v>16125619</v>
          </cell>
        </row>
        <row r="23">
          <cell r="R23">
            <v>40638036.743999995</v>
          </cell>
        </row>
        <row r="25">
          <cell r="R25">
            <v>45031287.743999995</v>
          </cell>
        </row>
        <row r="26">
          <cell r="R26">
            <v>-4058204</v>
          </cell>
        </row>
        <row r="27">
          <cell r="R27">
            <v>-335047</v>
          </cell>
        </row>
        <row r="32">
          <cell r="R32">
            <v>0</v>
          </cell>
        </row>
        <row r="33">
          <cell r="R33">
            <v>0</v>
          </cell>
        </row>
        <row r="36">
          <cell r="R36">
            <v>29682</v>
          </cell>
        </row>
        <row r="37">
          <cell r="R37">
            <v>-29682</v>
          </cell>
        </row>
        <row r="45">
          <cell r="R45">
            <v>-4931986</v>
          </cell>
        </row>
        <row r="47">
          <cell r="R47">
            <v>0</v>
          </cell>
        </row>
        <row r="49">
          <cell r="R49">
            <v>-1962723</v>
          </cell>
        </row>
        <row r="50">
          <cell r="R50">
            <v>-2969263</v>
          </cell>
        </row>
        <row r="67">
          <cell r="R67">
            <v>537410.36356998235</v>
          </cell>
        </row>
      </sheetData>
      <sheetData sheetId="1"/>
      <sheetData sheetId="2"/>
      <sheetData sheetId="3"/>
      <sheetData sheetId="4">
        <row r="18">
          <cell r="R18">
            <v>183966537</v>
          </cell>
        </row>
        <row r="19">
          <cell r="R19">
            <v>66829447</v>
          </cell>
        </row>
        <row r="23">
          <cell r="R23">
            <v>-4349966</v>
          </cell>
        </row>
        <row r="25">
          <cell r="R25">
            <v>0</v>
          </cell>
        </row>
        <row r="27">
          <cell r="R27">
            <v>871744.25600000005</v>
          </cell>
        </row>
        <row r="32">
          <cell r="R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J114">
            <v>68106446.022430018</v>
          </cell>
          <cell r="T114">
            <v>146956569.37684998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W13">
            <v>11567828</v>
          </cell>
        </row>
        <row r="23">
          <cell r="W23">
            <v>43402900</v>
          </cell>
        </row>
        <row r="25">
          <cell r="W25">
            <v>49600848</v>
          </cell>
        </row>
        <row r="26">
          <cell r="W26">
            <v>-6085389</v>
          </cell>
        </row>
        <row r="27">
          <cell r="W27">
            <v>-112559</v>
          </cell>
        </row>
        <row r="31">
          <cell r="W31">
            <v>0</v>
          </cell>
        </row>
        <row r="32">
          <cell r="W32">
            <v>0</v>
          </cell>
        </row>
        <row r="33">
          <cell r="W33">
            <v>0</v>
          </cell>
        </row>
        <row r="36">
          <cell r="W36">
            <v>28489</v>
          </cell>
        </row>
        <row r="37">
          <cell r="W37">
            <v>-28489</v>
          </cell>
        </row>
        <row r="44">
          <cell r="W44">
            <v>-8699700</v>
          </cell>
        </row>
        <row r="46">
          <cell r="W46">
            <v>0</v>
          </cell>
        </row>
        <row r="47">
          <cell r="W47">
            <v>0</v>
          </cell>
        </row>
        <row r="49">
          <cell r="W49">
            <v>-5604275</v>
          </cell>
        </row>
        <row r="50">
          <cell r="W50">
            <v>-3095425</v>
          </cell>
        </row>
        <row r="67">
          <cell r="W67">
            <v>-23974845.376640022</v>
          </cell>
        </row>
        <row r="70">
          <cell r="W70">
            <v>2527515</v>
          </cell>
        </row>
        <row r="71">
          <cell r="W71">
            <v>0</v>
          </cell>
        </row>
        <row r="72">
          <cell r="W72">
            <v>0</v>
          </cell>
        </row>
        <row r="73">
          <cell r="W73">
            <v>0</v>
          </cell>
        </row>
      </sheetData>
      <sheetData sheetId="1"/>
      <sheetData sheetId="2"/>
      <sheetData sheetId="3"/>
      <sheetData sheetId="4">
        <row r="18">
          <cell r="W18">
            <v>174786407</v>
          </cell>
        </row>
        <row r="19">
          <cell r="W19">
            <v>98982577</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B13">
            <v>26289577</v>
          </cell>
        </row>
        <row r="23">
          <cell r="AB23">
            <v>60600922</v>
          </cell>
        </row>
        <row r="25">
          <cell r="AB25">
            <v>69933031</v>
          </cell>
        </row>
        <row r="26">
          <cell r="AB26">
            <v>-8992564</v>
          </cell>
        </row>
        <row r="27">
          <cell r="AB27">
            <v>-339545</v>
          </cell>
        </row>
        <row r="31">
          <cell r="AB31">
            <v>0</v>
          </cell>
        </row>
        <row r="32">
          <cell r="AB32">
            <v>0</v>
          </cell>
        </row>
        <row r="33">
          <cell r="AB33">
            <v>0</v>
          </cell>
        </row>
        <row r="36">
          <cell r="AB36">
            <v>0</v>
          </cell>
        </row>
        <row r="37">
          <cell r="AB37">
            <v>0</v>
          </cell>
        </row>
        <row r="44">
          <cell r="AB44">
            <v>86911584</v>
          </cell>
        </row>
        <row r="46">
          <cell r="AB46">
            <v>86911584</v>
          </cell>
        </row>
        <row r="47">
          <cell r="AB47">
            <v>0</v>
          </cell>
        </row>
        <row r="49">
          <cell r="AB49">
            <v>0</v>
          </cell>
        </row>
        <row r="50">
          <cell r="AB50">
            <v>0</v>
          </cell>
        </row>
        <row r="67">
          <cell r="AB67">
            <v>-39272434.960170001</v>
          </cell>
        </row>
        <row r="70">
          <cell r="AB70">
            <v>-24856159</v>
          </cell>
        </row>
        <row r="71">
          <cell r="AB71">
            <v>0</v>
          </cell>
        </row>
        <row r="72">
          <cell r="AB72">
            <v>126224</v>
          </cell>
        </row>
        <row r="73">
          <cell r="AB73">
            <v>-22185</v>
          </cell>
        </row>
      </sheetData>
      <sheetData sheetId="1"/>
      <sheetData sheetId="2"/>
      <sheetData sheetId="3"/>
      <sheetData sheetId="4">
        <row r="14">
          <cell r="H14">
            <v>191125443</v>
          </cell>
        </row>
        <row r="15">
          <cell r="H15">
            <v>44536225</v>
          </cell>
        </row>
        <row r="18">
          <cell r="AB18">
            <v>216993276</v>
          </cell>
        </row>
        <row r="19">
          <cell r="AB19">
            <v>110425495</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G13">
            <v>-5974831</v>
          </cell>
        </row>
        <row r="23">
          <cell r="AG23">
            <v>37229982</v>
          </cell>
        </row>
        <row r="25">
          <cell r="AG25">
            <v>44319358</v>
          </cell>
        </row>
        <row r="26">
          <cell r="AG26">
            <v>-6877121</v>
          </cell>
        </row>
        <row r="27">
          <cell r="AG27">
            <v>-212255</v>
          </cell>
        </row>
        <row r="31">
          <cell r="AG31">
            <v>0</v>
          </cell>
        </row>
        <row r="32">
          <cell r="AG32">
            <v>0</v>
          </cell>
        </row>
        <row r="33">
          <cell r="AG33">
            <v>0</v>
          </cell>
        </row>
        <row r="36">
          <cell r="AG36">
            <v>41191</v>
          </cell>
        </row>
        <row r="37">
          <cell r="AG37">
            <v>-41191</v>
          </cell>
        </row>
        <row r="44">
          <cell r="AG44">
            <v>0</v>
          </cell>
        </row>
        <row r="46">
          <cell r="AG46">
            <v>0</v>
          </cell>
        </row>
        <row r="47">
          <cell r="AG47">
            <v>0</v>
          </cell>
        </row>
        <row r="49">
          <cell r="AG49">
            <v>0</v>
          </cell>
        </row>
        <row r="50">
          <cell r="AG50">
            <v>0</v>
          </cell>
        </row>
        <row r="67">
          <cell r="AG67">
            <v>32418642.456500009</v>
          </cell>
        </row>
        <row r="70">
          <cell r="AG70">
            <v>26866570</v>
          </cell>
        </row>
        <row r="71">
          <cell r="AG71">
            <v>0</v>
          </cell>
        </row>
        <row r="72">
          <cell r="AG72">
            <v>0</v>
          </cell>
        </row>
        <row r="73">
          <cell r="AG73">
            <v>0</v>
          </cell>
        </row>
      </sheetData>
      <sheetData sheetId="1"/>
      <sheetData sheetId="2"/>
      <sheetData sheetId="3"/>
      <sheetData sheetId="4">
        <row r="18">
          <cell r="AG18">
            <v>178904480</v>
          </cell>
        </row>
        <row r="19">
          <cell r="AG19">
            <v>106552857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L13">
            <v>1315362</v>
          </cell>
        </row>
        <row r="23">
          <cell r="AL23">
            <v>50427153</v>
          </cell>
        </row>
        <row r="25">
          <cell r="AL25">
            <v>61486843</v>
          </cell>
        </row>
        <row r="26">
          <cell r="AL26">
            <v>-10836667</v>
          </cell>
        </row>
        <row r="27">
          <cell r="AL27">
            <v>-223023</v>
          </cell>
        </row>
        <row r="31">
          <cell r="AL31">
            <v>0</v>
          </cell>
        </row>
        <row r="32">
          <cell r="AL32">
            <v>0</v>
          </cell>
        </row>
        <row r="33">
          <cell r="AL33">
            <v>0</v>
          </cell>
        </row>
        <row r="36">
          <cell r="AL36">
            <v>18552</v>
          </cell>
        </row>
        <row r="37">
          <cell r="AL37">
            <v>-18552</v>
          </cell>
        </row>
        <row r="44">
          <cell r="AL44">
            <v>0</v>
          </cell>
        </row>
        <row r="46">
          <cell r="AL46">
            <v>0</v>
          </cell>
        </row>
        <row r="47">
          <cell r="AL47">
            <v>0</v>
          </cell>
        </row>
        <row r="49">
          <cell r="AL49">
            <v>0</v>
          </cell>
        </row>
        <row r="50">
          <cell r="AL50">
            <v>0</v>
          </cell>
        </row>
        <row r="67">
          <cell r="AL67">
            <v>-8875713.0291699618</v>
          </cell>
        </row>
        <row r="70">
          <cell r="AL70">
            <v>-5977613</v>
          </cell>
        </row>
        <row r="71">
          <cell r="AL71">
            <v>0</v>
          </cell>
        </row>
        <row r="72">
          <cell r="AL72">
            <v>3836</v>
          </cell>
        </row>
        <row r="73">
          <cell r="AL73">
            <v>0</v>
          </cell>
        </row>
      </sheetData>
      <sheetData sheetId="1"/>
      <sheetData sheetId="2"/>
      <sheetData sheetId="3"/>
      <sheetData sheetId="4">
        <row r="18">
          <cell r="AL18">
            <v>162851119</v>
          </cell>
        </row>
        <row r="19">
          <cell r="AL19">
            <v>135858716</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Q13">
            <v>31098565</v>
          </cell>
        </row>
        <row r="23">
          <cell r="AQ23">
            <v>50571945</v>
          </cell>
        </row>
        <row r="44">
          <cell r="AQ44">
            <v>5008164</v>
          </cell>
        </row>
        <row r="67">
          <cell r="AQ67">
            <v>-36949546.152860001</v>
          </cell>
        </row>
      </sheetData>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V13">
            <v>295423</v>
          </cell>
        </row>
        <row r="23">
          <cell r="AV23">
            <v>39211461</v>
          </cell>
        </row>
        <row r="44">
          <cell r="AV44">
            <v>-6967</v>
          </cell>
        </row>
        <row r="67">
          <cell r="AV67">
            <v>-18096631.773589998</v>
          </cell>
        </row>
      </sheetData>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BA13">
            <v>-33015782</v>
          </cell>
        </row>
        <row r="23">
          <cell r="BA23">
            <v>45711722</v>
          </cell>
        </row>
        <row r="25">
          <cell r="BA25">
            <v>52191398</v>
          </cell>
        </row>
        <row r="26">
          <cell r="BA26">
            <v>-6333842</v>
          </cell>
        </row>
        <row r="27">
          <cell r="BA27">
            <v>-59957</v>
          </cell>
        </row>
        <row r="31">
          <cell r="BA31">
            <v>0</v>
          </cell>
        </row>
        <row r="32">
          <cell r="BA32">
            <v>0</v>
          </cell>
        </row>
        <row r="33">
          <cell r="BA33">
            <v>0</v>
          </cell>
        </row>
        <row r="36">
          <cell r="BA36">
            <v>204461</v>
          </cell>
        </row>
        <row r="37">
          <cell r="BA37">
            <v>-290338</v>
          </cell>
        </row>
        <row r="44">
          <cell r="BA44">
            <v>0</v>
          </cell>
        </row>
        <row r="46">
          <cell r="BA46">
            <v>0</v>
          </cell>
        </row>
        <row r="49">
          <cell r="BA49">
            <v>0</v>
          </cell>
        </row>
        <row r="50">
          <cell r="BA50">
            <v>0</v>
          </cell>
        </row>
        <row r="67">
          <cell r="BA67">
            <v>-17747258.769499987</v>
          </cell>
        </row>
        <row r="70">
          <cell r="BA70">
            <v>-6539100</v>
          </cell>
        </row>
        <row r="71">
          <cell r="BA71">
            <v>0</v>
          </cell>
        </row>
        <row r="72">
          <cell r="BA72">
            <v>1620990</v>
          </cell>
        </row>
        <row r="73">
          <cell r="BA73">
            <v>0</v>
          </cell>
        </row>
      </sheetData>
      <sheetData sheetId="1"/>
      <sheetData sheetId="2"/>
      <sheetData sheetId="3"/>
      <sheetData sheetId="4">
        <row r="18">
          <cell r="BA18">
            <v>143765580</v>
          </cell>
        </row>
        <row r="19">
          <cell r="BA19">
            <v>234179335</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BF13">
            <v>15701292</v>
          </cell>
        </row>
        <row r="23">
          <cell r="BF23">
            <v>34673258</v>
          </cell>
        </row>
        <row r="25">
          <cell r="BF25">
            <v>39060638</v>
          </cell>
        </row>
        <row r="26">
          <cell r="BF26">
            <v>-3989426</v>
          </cell>
        </row>
        <row r="27">
          <cell r="BF27">
            <v>-397954</v>
          </cell>
        </row>
        <row r="31">
          <cell r="BF31">
            <v>0</v>
          </cell>
        </row>
        <row r="32">
          <cell r="BF32">
            <v>0</v>
          </cell>
        </row>
        <row r="33">
          <cell r="BF33">
            <v>0</v>
          </cell>
        </row>
        <row r="36">
          <cell r="BF36">
            <v>132680</v>
          </cell>
        </row>
        <row r="37">
          <cell r="BF37">
            <v>-132680</v>
          </cell>
        </row>
        <row r="44">
          <cell r="BF44">
            <v>0</v>
          </cell>
        </row>
        <row r="46">
          <cell r="BF46">
            <v>0</v>
          </cell>
        </row>
        <row r="49">
          <cell r="BF49">
            <v>0</v>
          </cell>
        </row>
        <row r="50">
          <cell r="BF50">
            <v>0</v>
          </cell>
        </row>
        <row r="70">
          <cell r="BF70">
            <v>59957836</v>
          </cell>
        </row>
        <row r="71">
          <cell r="BF71">
            <v>0</v>
          </cell>
        </row>
        <row r="72">
          <cell r="BF72">
            <v>89678</v>
          </cell>
        </row>
        <row r="73">
          <cell r="BF73">
            <v>0</v>
          </cell>
        </row>
      </sheetData>
      <sheetData sheetId="1"/>
      <sheetData sheetId="2"/>
      <sheetData sheetId="3"/>
      <sheetData sheetId="4">
        <row r="18">
          <cell r="BF18">
            <v>142480438</v>
          </cell>
        </row>
        <row r="19">
          <cell r="BF19">
            <v>235884810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BP13">
            <v>7899997</v>
          </cell>
        </row>
        <row r="23">
          <cell r="BP23">
            <v>-7569549</v>
          </cell>
        </row>
        <row r="25">
          <cell r="BP25">
            <v>48828037</v>
          </cell>
        </row>
        <row r="26">
          <cell r="BP26">
            <v>-6983980</v>
          </cell>
        </row>
        <row r="27">
          <cell r="BP27">
            <v>-49413606</v>
          </cell>
        </row>
        <row r="31">
          <cell r="BP31">
            <v>0</v>
          </cell>
        </row>
        <row r="32">
          <cell r="BP32">
            <v>0</v>
          </cell>
        </row>
        <row r="33">
          <cell r="BP33">
            <v>0</v>
          </cell>
        </row>
        <row r="36">
          <cell r="BP36">
            <v>2584491</v>
          </cell>
        </row>
        <row r="37">
          <cell r="BP37">
            <v>-2584491</v>
          </cell>
        </row>
        <row r="44">
          <cell r="BP44">
            <v>0</v>
          </cell>
        </row>
        <row r="46">
          <cell r="BP46">
            <v>0</v>
          </cell>
        </row>
        <row r="49">
          <cell r="BP49">
            <v>0</v>
          </cell>
        </row>
        <row r="50">
          <cell r="BP50">
            <v>0</v>
          </cell>
        </row>
        <row r="67">
          <cell r="BP67">
            <v>29488304.623150021</v>
          </cell>
        </row>
        <row r="70">
          <cell r="BP70">
            <v>-80682653</v>
          </cell>
        </row>
        <row r="71">
          <cell r="BP71">
            <v>0</v>
          </cell>
        </row>
        <row r="72">
          <cell r="BP72">
            <v>6347564</v>
          </cell>
        </row>
        <row r="73">
          <cell r="BP73">
            <v>-510</v>
          </cell>
        </row>
      </sheetData>
      <sheetData sheetId="1"/>
      <sheetData sheetId="2"/>
      <sheetData sheetId="3"/>
      <sheetData sheetId="4">
        <row r="18">
          <cell r="BP18">
            <v>139049630</v>
          </cell>
        </row>
        <row r="19">
          <cell r="BP19">
            <v>198554050</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8">
          <cell r="H8" t="str">
            <v>2020/21</v>
          </cell>
        </row>
        <row r="9">
          <cell r="H9" t="str">
            <v>Revised</v>
          </cell>
        </row>
        <row r="33">
          <cell r="R33">
            <v>0</v>
          </cell>
        </row>
        <row r="67">
          <cell r="BF67">
            <v>25860728.776310012</v>
          </cell>
          <cell r="BK67">
            <v>-16055785.20701997</v>
          </cell>
        </row>
      </sheetData>
      <sheetData sheetId="1">
        <row r="9">
          <cell r="G9" t="str">
            <v>Revised</v>
          </cell>
        </row>
        <row r="13">
          <cell r="G13">
            <v>591023575</v>
          </cell>
          <cell r="L13">
            <v>38350619</v>
          </cell>
          <cell r="Q13">
            <v>45031287.743999995</v>
          </cell>
          <cell r="V13">
            <v>49600848</v>
          </cell>
          <cell r="AA13">
            <v>69933031</v>
          </cell>
          <cell r="AF13">
            <v>44319358</v>
          </cell>
          <cell r="AK13">
            <v>61486843</v>
          </cell>
          <cell r="AP13">
            <v>59931421</v>
          </cell>
          <cell r="AU13">
            <v>46634910</v>
          </cell>
          <cell r="AZ13">
            <v>52191398</v>
          </cell>
          <cell r="BE13">
            <v>39060638</v>
          </cell>
          <cell r="BJ13">
            <v>49399464</v>
          </cell>
          <cell r="BO13">
            <v>48828037</v>
          </cell>
          <cell r="BT13">
            <v>604767854.74399996</v>
          </cell>
          <cell r="CX13">
            <v>30904734</v>
          </cell>
          <cell r="DC13">
            <v>32089447</v>
          </cell>
          <cell r="DH13">
            <v>33970885</v>
          </cell>
          <cell r="DM13">
            <v>34588835</v>
          </cell>
          <cell r="DR13">
            <v>26476333</v>
          </cell>
          <cell r="DW13">
            <v>21562772</v>
          </cell>
          <cell r="EB13">
            <v>32267535</v>
          </cell>
        </row>
        <row r="14">
          <cell r="G14">
            <v>5243353</v>
          </cell>
          <cell r="L14">
            <v>0</v>
          </cell>
          <cell r="Q14">
            <v>0</v>
          </cell>
          <cell r="V14">
            <v>0</v>
          </cell>
          <cell r="AA14">
            <v>0</v>
          </cell>
          <cell r="AF14">
            <v>0</v>
          </cell>
          <cell r="AK14">
            <v>0</v>
          </cell>
          <cell r="AP14">
            <v>0</v>
          </cell>
          <cell r="AU14">
            <v>0</v>
          </cell>
          <cell r="AZ14">
            <v>0</v>
          </cell>
          <cell r="BE14">
            <v>0</v>
          </cell>
          <cell r="BJ14">
            <v>7577210</v>
          </cell>
          <cell r="BO14">
            <v>0</v>
          </cell>
          <cell r="BT14">
            <v>7577210</v>
          </cell>
          <cell r="CX14">
            <v>0</v>
          </cell>
          <cell r="DC14">
            <v>0</v>
          </cell>
          <cell r="DH14">
            <v>0</v>
          </cell>
          <cell r="DM14">
            <v>0</v>
          </cell>
          <cell r="DR14">
            <v>0</v>
          </cell>
          <cell r="DW14">
            <v>0</v>
          </cell>
          <cell r="EB14">
            <v>0</v>
          </cell>
        </row>
        <row r="15">
          <cell r="G15">
            <v>1028268</v>
          </cell>
          <cell r="L15">
            <v>487336</v>
          </cell>
          <cell r="Q15">
            <v>29682</v>
          </cell>
          <cell r="V15">
            <v>28489</v>
          </cell>
          <cell r="AA15">
            <v>0</v>
          </cell>
          <cell r="AF15">
            <v>41191</v>
          </cell>
          <cell r="AK15">
            <v>18552</v>
          </cell>
          <cell r="AP15">
            <v>0</v>
          </cell>
          <cell r="AU15">
            <v>85877</v>
          </cell>
          <cell r="AZ15">
            <v>204461</v>
          </cell>
          <cell r="BE15">
            <v>132680</v>
          </cell>
          <cell r="BJ15">
            <v>1279237</v>
          </cell>
          <cell r="BO15">
            <v>2584491</v>
          </cell>
          <cell r="BT15">
            <v>4891996</v>
          </cell>
          <cell r="CX15">
            <v>289217</v>
          </cell>
          <cell r="DC15">
            <v>235010</v>
          </cell>
          <cell r="DH15">
            <v>0</v>
          </cell>
          <cell r="DM15">
            <v>64127</v>
          </cell>
          <cell r="DR15">
            <v>0</v>
          </cell>
          <cell r="DW15">
            <v>0</v>
          </cell>
          <cell r="EB15">
            <v>0</v>
          </cell>
        </row>
        <row r="16">
          <cell r="L16">
            <v>0</v>
          </cell>
          <cell r="Q16">
            <v>0</v>
          </cell>
          <cell r="V16">
            <v>0</v>
          </cell>
          <cell r="AA16">
            <v>0</v>
          </cell>
          <cell r="AF16">
            <v>0</v>
          </cell>
          <cell r="AK16">
            <v>0</v>
          </cell>
          <cell r="AP16">
            <v>0</v>
          </cell>
          <cell r="AU16">
            <v>0</v>
          </cell>
          <cell r="AZ16">
            <v>0</v>
          </cell>
          <cell r="BE16">
            <v>0</v>
          </cell>
          <cell r="BJ16">
            <v>0</v>
          </cell>
          <cell r="BO16">
            <v>0</v>
          </cell>
          <cell r="BT16">
            <v>0</v>
          </cell>
          <cell r="CX16">
            <v>0</v>
          </cell>
          <cell r="DC16">
            <v>0</v>
          </cell>
          <cell r="DH16">
            <v>0</v>
          </cell>
          <cell r="DM16">
            <v>0</v>
          </cell>
          <cell r="DR16">
            <v>0</v>
          </cell>
          <cell r="DW16">
            <v>0</v>
          </cell>
          <cell r="EB16">
            <v>0</v>
          </cell>
        </row>
        <row r="20">
          <cell r="G20">
            <v>72524000</v>
          </cell>
          <cell r="L20">
            <v>4299769</v>
          </cell>
          <cell r="Q20">
            <v>4058204</v>
          </cell>
          <cell r="V20">
            <v>6085389</v>
          </cell>
          <cell r="AA20">
            <v>8992564</v>
          </cell>
          <cell r="AF20">
            <v>6877121</v>
          </cell>
          <cell r="AK20">
            <v>10836667</v>
          </cell>
          <cell r="AP20">
            <v>9026146</v>
          </cell>
          <cell r="AU20">
            <v>7195171</v>
          </cell>
          <cell r="AZ20">
            <v>6333842</v>
          </cell>
          <cell r="BE20">
            <v>3989426</v>
          </cell>
          <cell r="BJ20">
            <v>6713436</v>
          </cell>
          <cell r="BO20">
            <v>6983980</v>
          </cell>
          <cell r="BT20">
            <v>81391715</v>
          </cell>
          <cell r="CX20">
            <v>2422421</v>
          </cell>
          <cell r="DC20">
            <v>2517677</v>
          </cell>
          <cell r="DH20">
            <v>2852893</v>
          </cell>
          <cell r="DM20">
            <v>3497342</v>
          </cell>
          <cell r="DR20">
            <v>2287072</v>
          </cell>
          <cell r="DW20">
            <v>2282238</v>
          </cell>
          <cell r="EB20">
            <v>2868557</v>
          </cell>
        </row>
        <row r="217">
          <cell r="G217">
            <v>405928</v>
          </cell>
          <cell r="L217">
            <v>0</v>
          </cell>
          <cell r="Q217">
            <v>0</v>
          </cell>
          <cell r="V217">
            <v>0</v>
          </cell>
          <cell r="AA217">
            <v>0</v>
          </cell>
          <cell r="AF217">
            <v>0</v>
          </cell>
          <cell r="AK217">
            <v>0</v>
          </cell>
          <cell r="AP217">
            <v>0</v>
          </cell>
          <cell r="AU217">
            <v>0</v>
          </cell>
          <cell r="AZ217">
            <v>0</v>
          </cell>
          <cell r="BE217">
            <v>0</v>
          </cell>
          <cell r="BJ217">
            <v>730496</v>
          </cell>
          <cell r="BO217">
            <v>0</v>
          </cell>
          <cell r="BT217">
            <v>730496</v>
          </cell>
          <cell r="CX217">
            <v>0</v>
          </cell>
          <cell r="DC217">
            <v>0</v>
          </cell>
          <cell r="DH217">
            <v>0</v>
          </cell>
          <cell r="DM217">
            <v>0</v>
          </cell>
          <cell r="DR217">
            <v>0</v>
          </cell>
          <cell r="DW217">
            <v>0</v>
          </cell>
          <cell r="EB217">
            <v>0</v>
          </cell>
        </row>
        <row r="292">
          <cell r="D292" t="str">
            <v xml:space="preserve">  R2044 (8.75%  2044-45-46/01/31)</v>
          </cell>
        </row>
        <row r="307">
          <cell r="D307" t="str">
            <v xml:space="preserve">  R210 (2.60%  2028/03/31)</v>
          </cell>
        </row>
        <row r="310">
          <cell r="D310" t="str">
            <v xml:space="preserve">  R2037  (8.50%  2037/01/31)</v>
          </cell>
        </row>
        <row r="336">
          <cell r="D336" t="str">
            <v xml:space="preserve">  R209  (6.25%  2036/03/31)</v>
          </cell>
        </row>
      </sheetData>
      <sheetData sheetId="2">
        <row r="9">
          <cell r="G9" t="str">
            <v>Revised</v>
          </cell>
        </row>
        <row r="13">
          <cell r="G13">
            <v>52465000</v>
          </cell>
          <cell r="L13">
            <v>1200137</v>
          </cell>
          <cell r="Q13">
            <v>335047</v>
          </cell>
          <cell r="V13">
            <v>112559</v>
          </cell>
          <cell r="AA13">
            <v>339545</v>
          </cell>
          <cell r="AF13">
            <v>212255</v>
          </cell>
          <cell r="AK13">
            <v>223023</v>
          </cell>
          <cell r="AP13">
            <v>333330</v>
          </cell>
          <cell r="AU13">
            <v>314155</v>
          </cell>
          <cell r="AZ13">
            <v>59957</v>
          </cell>
          <cell r="BE13">
            <v>397954</v>
          </cell>
          <cell r="BJ13">
            <v>281023</v>
          </cell>
          <cell r="BO13">
            <v>49413606</v>
          </cell>
          <cell r="BT13">
            <v>53222591</v>
          </cell>
          <cell r="CX13">
            <v>317003</v>
          </cell>
          <cell r="DC13">
            <v>464401</v>
          </cell>
          <cell r="DH13">
            <v>190972</v>
          </cell>
          <cell r="DM13">
            <v>372701</v>
          </cell>
          <cell r="DR13">
            <v>335951</v>
          </cell>
          <cell r="DW13">
            <v>16129719</v>
          </cell>
          <cell r="EB13">
            <v>239823</v>
          </cell>
        </row>
        <row r="14">
          <cell r="G14">
            <v>4880000</v>
          </cell>
          <cell r="L14">
            <v>0</v>
          </cell>
          <cell r="Q14">
            <v>0</v>
          </cell>
          <cell r="V14">
            <v>0</v>
          </cell>
          <cell r="AA14">
            <v>0</v>
          </cell>
          <cell r="AF14">
            <v>0</v>
          </cell>
          <cell r="AK14">
            <v>0</v>
          </cell>
          <cell r="AP14">
            <v>0</v>
          </cell>
          <cell r="AU14">
            <v>0</v>
          </cell>
          <cell r="AZ14">
            <v>0</v>
          </cell>
          <cell r="BE14">
            <v>0</v>
          </cell>
          <cell r="BJ14">
            <v>6805000</v>
          </cell>
          <cell r="BO14">
            <v>0</v>
          </cell>
          <cell r="BT14">
            <v>6805000</v>
          </cell>
          <cell r="CX14">
            <v>0</v>
          </cell>
          <cell r="DC14">
            <v>0</v>
          </cell>
          <cell r="DH14">
            <v>0</v>
          </cell>
          <cell r="DM14">
            <v>0</v>
          </cell>
          <cell r="DR14">
            <v>0</v>
          </cell>
          <cell r="DW14">
            <v>0</v>
          </cell>
          <cell r="EB14">
            <v>0</v>
          </cell>
        </row>
        <row r="15">
          <cell r="G15">
            <v>1028268</v>
          </cell>
          <cell r="L15">
            <v>487336</v>
          </cell>
          <cell r="Q15">
            <v>29682</v>
          </cell>
          <cell r="V15">
            <v>28489</v>
          </cell>
          <cell r="AA15">
            <v>0</v>
          </cell>
          <cell r="AF15">
            <v>41191</v>
          </cell>
          <cell r="AK15">
            <v>18552</v>
          </cell>
          <cell r="AP15">
            <v>0</v>
          </cell>
          <cell r="AU15">
            <v>0</v>
          </cell>
          <cell r="AZ15">
            <v>290338</v>
          </cell>
          <cell r="BE15">
            <v>132680</v>
          </cell>
          <cell r="BJ15">
            <v>1279237</v>
          </cell>
          <cell r="BO15">
            <v>2584491</v>
          </cell>
          <cell r="BT15">
            <v>4891996</v>
          </cell>
          <cell r="CX15">
            <v>289217</v>
          </cell>
          <cell r="DC15">
            <v>235010</v>
          </cell>
          <cell r="DH15">
            <v>0</v>
          </cell>
          <cell r="DM15">
            <v>64127</v>
          </cell>
          <cell r="DR15">
            <v>0</v>
          </cell>
          <cell r="DW15">
            <v>0</v>
          </cell>
          <cell r="EB15">
            <v>0</v>
          </cell>
        </row>
        <row r="16">
          <cell r="G16">
            <v>0</v>
          </cell>
          <cell r="L16">
            <v>0</v>
          </cell>
          <cell r="Q16">
            <v>0</v>
          </cell>
          <cell r="V16">
            <v>0</v>
          </cell>
          <cell r="AA16">
            <v>0</v>
          </cell>
          <cell r="AF16">
            <v>0</v>
          </cell>
          <cell r="AK16">
            <v>0</v>
          </cell>
          <cell r="AP16">
            <v>0</v>
          </cell>
          <cell r="AU16">
            <v>0</v>
          </cell>
          <cell r="AZ16">
            <v>0</v>
          </cell>
          <cell r="BE16">
            <v>0</v>
          </cell>
          <cell r="BJ16">
            <v>0</v>
          </cell>
          <cell r="BO16">
            <v>0</v>
          </cell>
          <cell r="BT16">
            <v>0</v>
          </cell>
          <cell r="CX16">
            <v>0</v>
          </cell>
          <cell r="DC16">
            <v>0</v>
          </cell>
          <cell r="DH16">
            <v>0</v>
          </cell>
          <cell r="DM16">
            <v>0</v>
          </cell>
          <cell r="DR16">
            <v>0</v>
          </cell>
          <cell r="DW16">
            <v>0</v>
          </cell>
          <cell r="EB16">
            <v>0</v>
          </cell>
        </row>
        <row r="32">
          <cell r="G32">
            <v>0</v>
          </cell>
          <cell r="L32">
            <v>0</v>
          </cell>
          <cell r="Q32">
            <v>0</v>
          </cell>
          <cell r="V32">
            <v>0</v>
          </cell>
          <cell r="AA32">
            <v>0</v>
          </cell>
          <cell r="AF32">
            <v>0</v>
          </cell>
          <cell r="AK32">
            <v>0</v>
          </cell>
          <cell r="AP32">
            <v>0</v>
          </cell>
          <cell r="AU32">
            <v>0</v>
          </cell>
          <cell r="AZ32">
            <v>0</v>
          </cell>
          <cell r="BE32">
            <v>0</v>
          </cell>
          <cell r="BJ32">
            <v>0</v>
          </cell>
          <cell r="BO32">
            <v>0</v>
          </cell>
          <cell r="BT32">
            <v>0</v>
          </cell>
          <cell r="CX32">
            <v>0</v>
          </cell>
          <cell r="DC32">
            <v>0</v>
          </cell>
          <cell r="DH32">
            <v>0</v>
          </cell>
          <cell r="DM32">
            <v>0</v>
          </cell>
          <cell r="DR32">
            <v>0</v>
          </cell>
          <cell r="DW32">
            <v>0</v>
          </cell>
          <cell r="EB32">
            <v>0</v>
          </cell>
        </row>
        <row r="86">
          <cell r="D86" t="str">
            <v xml:space="preserve">  I2029 (1.875%  2029/03/31)</v>
          </cell>
        </row>
        <row r="124">
          <cell r="G124">
            <v>0</v>
          </cell>
          <cell r="L124">
            <v>0</v>
          </cell>
          <cell r="Q124">
            <v>0</v>
          </cell>
          <cell r="V124">
            <v>0</v>
          </cell>
          <cell r="AA124">
            <v>0</v>
          </cell>
          <cell r="AF124">
            <v>0</v>
          </cell>
          <cell r="AK124">
            <v>0</v>
          </cell>
          <cell r="AP124">
            <v>0</v>
          </cell>
          <cell r="AU124">
            <v>0</v>
          </cell>
          <cell r="AZ124">
            <v>0</v>
          </cell>
          <cell r="BE124">
            <v>0</v>
          </cell>
          <cell r="BJ124">
            <v>0</v>
          </cell>
          <cell r="BO124">
            <v>0</v>
          </cell>
          <cell r="BT124">
            <v>0</v>
          </cell>
          <cell r="CX124">
            <v>0</v>
          </cell>
          <cell r="DC124">
            <v>0</v>
          </cell>
          <cell r="DH124">
            <v>0</v>
          </cell>
          <cell r="DM124">
            <v>0</v>
          </cell>
          <cell r="DR124">
            <v>0</v>
          </cell>
          <cell r="DW124">
            <v>0</v>
          </cell>
          <cell r="EB124">
            <v>0</v>
          </cell>
        </row>
        <row r="211">
          <cell r="BV211">
            <v>0</v>
          </cell>
        </row>
      </sheetData>
      <sheetData sheetId="3">
        <row r="9">
          <cell r="G9" t="str">
            <v>Revised</v>
          </cell>
        </row>
        <row r="17">
          <cell r="G17">
            <v>107070000</v>
          </cell>
          <cell r="L17">
            <v>0</v>
          </cell>
          <cell r="Q17">
            <v>0</v>
          </cell>
          <cell r="V17">
            <v>0</v>
          </cell>
          <cell r="AA17">
            <v>86911584</v>
          </cell>
          <cell r="AF17">
            <v>0</v>
          </cell>
          <cell r="AK17">
            <v>0</v>
          </cell>
          <cell r="AP17">
            <v>5008164</v>
          </cell>
          <cell r="AU17">
            <v>0</v>
          </cell>
          <cell r="AZ17">
            <v>0</v>
          </cell>
          <cell r="BE17">
            <v>0</v>
          </cell>
          <cell r="BJ17">
            <v>0</v>
          </cell>
          <cell r="BO17">
            <v>0</v>
          </cell>
          <cell r="BT17">
            <v>91919748</v>
          </cell>
          <cell r="CX17">
            <v>0</v>
          </cell>
          <cell r="DC17">
            <v>76052000</v>
          </cell>
          <cell r="DH17">
            <v>0</v>
          </cell>
          <cell r="DM17">
            <v>0</v>
          </cell>
          <cell r="DR17">
            <v>0</v>
          </cell>
          <cell r="DW17">
            <v>0</v>
          </cell>
          <cell r="EB17">
            <v>0</v>
          </cell>
        </row>
        <row r="19">
          <cell r="G19">
            <v>0</v>
          </cell>
          <cell r="L19">
            <v>0</v>
          </cell>
          <cell r="Q19">
            <v>0</v>
          </cell>
          <cell r="V19">
            <v>0</v>
          </cell>
          <cell r="AA19">
            <v>0</v>
          </cell>
          <cell r="AF19">
            <v>0</v>
          </cell>
          <cell r="AK19">
            <v>0</v>
          </cell>
          <cell r="AP19">
            <v>0</v>
          </cell>
          <cell r="AU19">
            <v>0</v>
          </cell>
          <cell r="AZ19">
            <v>0</v>
          </cell>
          <cell r="BE19">
            <v>0</v>
          </cell>
          <cell r="BJ19">
            <v>0</v>
          </cell>
          <cell r="BO19">
            <v>0</v>
          </cell>
          <cell r="BT19">
            <v>0</v>
          </cell>
          <cell r="CX19">
            <v>0</v>
          </cell>
          <cell r="DC19">
            <v>0</v>
          </cell>
          <cell r="DH19">
            <v>0</v>
          </cell>
          <cell r="DM19">
            <v>0</v>
          </cell>
          <cell r="DR19">
            <v>0</v>
          </cell>
          <cell r="DW19">
            <v>0</v>
          </cell>
          <cell r="EB19">
            <v>0</v>
          </cell>
        </row>
        <row r="62">
          <cell r="G62">
            <v>0</v>
          </cell>
          <cell r="L62">
            <v>0</v>
          </cell>
          <cell r="Q62">
            <v>0</v>
          </cell>
          <cell r="V62">
            <v>0</v>
          </cell>
          <cell r="AA62">
            <v>0</v>
          </cell>
          <cell r="AF62">
            <v>0</v>
          </cell>
          <cell r="AK62">
            <v>0</v>
          </cell>
          <cell r="AP62">
            <v>0</v>
          </cell>
          <cell r="AU62">
            <v>0</v>
          </cell>
          <cell r="AZ62">
            <v>0</v>
          </cell>
          <cell r="BE62">
            <v>0</v>
          </cell>
          <cell r="BJ62">
            <v>0</v>
          </cell>
          <cell r="BO62">
            <v>0</v>
          </cell>
          <cell r="BT62">
            <v>0</v>
          </cell>
          <cell r="CX62">
            <v>0</v>
          </cell>
          <cell r="DC62">
            <v>0</v>
          </cell>
          <cell r="DH62">
            <v>0</v>
          </cell>
          <cell r="DM62">
            <v>0</v>
          </cell>
          <cell r="DR62">
            <v>0</v>
          </cell>
          <cell r="DW62">
            <v>0</v>
          </cell>
          <cell r="EB62">
            <v>0</v>
          </cell>
        </row>
        <row r="64">
          <cell r="G64">
            <v>0</v>
          </cell>
          <cell r="L64">
            <v>0</v>
          </cell>
          <cell r="Q64">
            <v>0</v>
          </cell>
          <cell r="V64">
            <v>0</v>
          </cell>
          <cell r="AA64">
            <v>0</v>
          </cell>
          <cell r="AF64">
            <v>0</v>
          </cell>
          <cell r="AK64">
            <v>0</v>
          </cell>
          <cell r="AP64">
            <v>0</v>
          </cell>
          <cell r="AU64">
            <v>0</v>
          </cell>
          <cell r="AZ64">
            <v>0</v>
          </cell>
          <cell r="BE64">
            <v>0</v>
          </cell>
          <cell r="BJ64">
            <v>0</v>
          </cell>
          <cell r="BO64">
            <v>0</v>
          </cell>
          <cell r="BT64">
            <v>0</v>
          </cell>
          <cell r="CX64">
            <v>0</v>
          </cell>
          <cell r="DC64">
            <v>0</v>
          </cell>
          <cell r="DH64">
            <v>0</v>
          </cell>
          <cell r="DM64">
            <v>0</v>
          </cell>
          <cell r="DR64">
            <v>0</v>
          </cell>
          <cell r="DW64">
            <v>0</v>
          </cell>
          <cell r="EB64">
            <v>0</v>
          </cell>
        </row>
        <row r="72">
          <cell r="L72">
            <v>0</v>
          </cell>
          <cell r="Q72">
            <v>0</v>
          </cell>
          <cell r="V72">
            <v>0</v>
          </cell>
          <cell r="AA72">
            <v>0</v>
          </cell>
          <cell r="AF72">
            <v>0</v>
          </cell>
          <cell r="AK72">
            <v>0</v>
          </cell>
          <cell r="AP72">
            <v>0</v>
          </cell>
          <cell r="AU72">
            <v>0</v>
          </cell>
          <cell r="AZ72">
            <v>0</v>
          </cell>
          <cell r="BE72">
            <v>0</v>
          </cell>
          <cell r="BJ72">
            <v>0</v>
          </cell>
          <cell r="BO72">
            <v>0</v>
          </cell>
          <cell r="BT72">
            <v>0</v>
          </cell>
          <cell r="CX72">
            <v>0</v>
          </cell>
          <cell r="DC72">
            <v>0</v>
          </cell>
          <cell r="DH72">
            <v>0</v>
          </cell>
          <cell r="DM72">
            <v>0</v>
          </cell>
          <cell r="DR72">
            <v>0</v>
          </cell>
          <cell r="DW72">
            <v>0</v>
          </cell>
          <cell r="EB72">
            <v>0</v>
          </cell>
        </row>
        <row r="74">
          <cell r="L74">
            <v>0</v>
          </cell>
          <cell r="Q74">
            <v>0</v>
          </cell>
          <cell r="V74">
            <v>0</v>
          </cell>
          <cell r="AA74">
            <v>0</v>
          </cell>
          <cell r="AF74">
            <v>0</v>
          </cell>
          <cell r="AK74">
            <v>0</v>
          </cell>
          <cell r="AP74">
            <v>0</v>
          </cell>
          <cell r="AU74">
            <v>0</v>
          </cell>
          <cell r="AZ74">
            <v>0</v>
          </cell>
          <cell r="BE74">
            <v>0</v>
          </cell>
          <cell r="BJ74">
            <v>0</v>
          </cell>
          <cell r="BO74">
            <v>0</v>
          </cell>
          <cell r="BT74">
            <v>0</v>
          </cell>
          <cell r="CX74">
            <v>0</v>
          </cell>
          <cell r="DC74">
            <v>0</v>
          </cell>
          <cell r="DH74">
            <v>0</v>
          </cell>
          <cell r="DM74">
            <v>0</v>
          </cell>
          <cell r="DR74">
            <v>0</v>
          </cell>
          <cell r="DW74">
            <v>0</v>
          </cell>
          <cell r="EB74">
            <v>0</v>
          </cell>
        </row>
        <row r="108">
          <cell r="G108">
            <v>7961000</v>
          </cell>
          <cell r="L108">
            <v>391647</v>
          </cell>
          <cell r="Q108">
            <v>1962723</v>
          </cell>
          <cell r="V108">
            <v>5604275</v>
          </cell>
          <cell r="AA108">
            <v>0</v>
          </cell>
          <cell r="AF108">
            <v>0</v>
          </cell>
          <cell r="AK108">
            <v>0</v>
          </cell>
          <cell r="AP108">
            <v>0</v>
          </cell>
          <cell r="AU108">
            <v>1940</v>
          </cell>
          <cell r="AZ108">
            <v>0</v>
          </cell>
          <cell r="BE108">
            <v>0</v>
          </cell>
          <cell r="BJ108">
            <v>0</v>
          </cell>
          <cell r="BO108">
            <v>0</v>
          </cell>
          <cell r="BT108">
            <v>7960585</v>
          </cell>
          <cell r="CX108">
            <v>0</v>
          </cell>
          <cell r="DC108">
            <v>0</v>
          </cell>
          <cell r="DH108">
            <v>391647</v>
          </cell>
          <cell r="DM108">
            <v>1940</v>
          </cell>
          <cell r="DR108">
            <v>0</v>
          </cell>
          <cell r="DW108">
            <v>0</v>
          </cell>
          <cell r="EB108">
            <v>0</v>
          </cell>
        </row>
        <row r="109">
          <cell r="G109">
            <v>6456000</v>
          </cell>
          <cell r="L109">
            <v>386018</v>
          </cell>
          <cell r="Q109">
            <v>2969263</v>
          </cell>
          <cell r="V109">
            <v>3095425</v>
          </cell>
          <cell r="AA109">
            <v>0</v>
          </cell>
          <cell r="AF109">
            <v>0</v>
          </cell>
          <cell r="AK109">
            <v>0</v>
          </cell>
          <cell r="AP109">
            <v>0</v>
          </cell>
          <cell r="AU109">
            <v>5027</v>
          </cell>
          <cell r="AZ109">
            <v>0</v>
          </cell>
          <cell r="BE109">
            <v>0</v>
          </cell>
          <cell r="BJ109">
            <v>0</v>
          </cell>
          <cell r="BO109">
            <v>0</v>
          </cell>
          <cell r="BT109">
            <v>6455733</v>
          </cell>
          <cell r="CX109">
            <v>0</v>
          </cell>
          <cell r="DC109">
            <v>0</v>
          </cell>
          <cell r="DH109">
            <v>262844</v>
          </cell>
          <cell r="DM109">
            <v>4425</v>
          </cell>
          <cell r="DR109">
            <v>0</v>
          </cell>
          <cell r="DW109">
            <v>0</v>
          </cell>
          <cell r="EB109">
            <v>0</v>
          </cell>
        </row>
        <row r="156">
          <cell r="G156">
            <v>0</v>
          </cell>
          <cell r="L156">
            <v>0</v>
          </cell>
          <cell r="Q156">
            <v>0</v>
          </cell>
          <cell r="V156">
            <v>0</v>
          </cell>
          <cell r="AA156">
            <v>0</v>
          </cell>
          <cell r="AF156">
            <v>0</v>
          </cell>
          <cell r="AK156">
            <v>0</v>
          </cell>
          <cell r="AP156">
            <v>0</v>
          </cell>
          <cell r="AU156">
            <v>0</v>
          </cell>
          <cell r="AZ156">
            <v>0</v>
          </cell>
          <cell r="BE156">
            <v>0</v>
          </cell>
          <cell r="BJ156">
            <v>0</v>
          </cell>
          <cell r="BO156">
            <v>0</v>
          </cell>
          <cell r="BT156">
            <v>0</v>
          </cell>
          <cell r="CX156">
            <v>0</v>
          </cell>
          <cell r="DC156">
            <v>0</v>
          </cell>
          <cell r="DH156">
            <v>0</v>
          </cell>
          <cell r="DM156">
            <v>0</v>
          </cell>
          <cell r="DR156">
            <v>0</v>
          </cell>
          <cell r="DW156">
            <v>0</v>
          </cell>
          <cell r="EB156">
            <v>0</v>
          </cell>
        </row>
        <row r="157">
          <cell r="G157">
            <v>0</v>
          </cell>
          <cell r="L157">
            <v>0</v>
          </cell>
          <cell r="Q157">
            <v>0</v>
          </cell>
          <cell r="V157">
            <v>0</v>
          </cell>
          <cell r="AA157">
            <v>0</v>
          </cell>
          <cell r="AF157">
            <v>0</v>
          </cell>
          <cell r="AK157">
            <v>0</v>
          </cell>
          <cell r="AP157">
            <v>0</v>
          </cell>
          <cell r="AU157">
            <v>0</v>
          </cell>
          <cell r="AZ157">
            <v>0</v>
          </cell>
          <cell r="BE157">
            <v>0</v>
          </cell>
          <cell r="BJ157">
            <v>0</v>
          </cell>
          <cell r="BO157">
            <v>0</v>
          </cell>
          <cell r="BT157">
            <v>0</v>
          </cell>
          <cell r="CX157">
            <v>0</v>
          </cell>
          <cell r="DC157">
            <v>0</v>
          </cell>
          <cell r="DH157">
            <v>0</v>
          </cell>
          <cell r="DM157">
            <v>0</v>
          </cell>
          <cell r="DR157">
            <v>0</v>
          </cell>
          <cell r="DW157">
            <v>0</v>
          </cell>
          <cell r="EB157">
            <v>0</v>
          </cell>
        </row>
        <row r="168">
          <cell r="L168">
            <v>0</v>
          </cell>
          <cell r="Q168">
            <v>0</v>
          </cell>
          <cell r="V168">
            <v>0</v>
          </cell>
          <cell r="AA168">
            <v>0</v>
          </cell>
          <cell r="AF168">
            <v>0</v>
          </cell>
          <cell r="AK168">
            <v>0</v>
          </cell>
          <cell r="AP168">
            <v>0</v>
          </cell>
          <cell r="AU168">
            <v>0</v>
          </cell>
          <cell r="AZ168">
            <v>0</v>
          </cell>
          <cell r="BE168">
            <v>0</v>
          </cell>
          <cell r="BJ168">
            <v>0</v>
          </cell>
          <cell r="BO168">
            <v>0</v>
          </cell>
          <cell r="BT168">
            <v>0</v>
          </cell>
          <cell r="CX168">
            <v>0</v>
          </cell>
          <cell r="DC168">
            <v>0</v>
          </cell>
          <cell r="DH168">
            <v>0</v>
          </cell>
          <cell r="DM168">
            <v>0</v>
          </cell>
          <cell r="DR168">
            <v>0</v>
          </cell>
          <cell r="DW168">
            <v>0</v>
          </cell>
          <cell r="EB168">
            <v>0</v>
          </cell>
        </row>
        <row r="169">
          <cell r="L169">
            <v>0</v>
          </cell>
          <cell r="Q169">
            <v>0</v>
          </cell>
          <cell r="V169">
            <v>0</v>
          </cell>
          <cell r="AA169">
            <v>0</v>
          </cell>
          <cell r="AF169">
            <v>0</v>
          </cell>
          <cell r="AK169">
            <v>0</v>
          </cell>
          <cell r="AP169">
            <v>0</v>
          </cell>
          <cell r="AU169">
            <v>0</v>
          </cell>
          <cell r="AZ169">
            <v>0</v>
          </cell>
          <cell r="BE169">
            <v>0</v>
          </cell>
          <cell r="BJ169">
            <v>0</v>
          </cell>
          <cell r="BO169">
            <v>0</v>
          </cell>
          <cell r="BT169">
            <v>0</v>
          </cell>
          <cell r="CX169">
            <v>0</v>
          </cell>
          <cell r="DC169">
            <v>0</v>
          </cell>
          <cell r="DH169">
            <v>0</v>
          </cell>
          <cell r="DM169">
            <v>0</v>
          </cell>
          <cell r="DR169">
            <v>0</v>
          </cell>
          <cell r="DW169">
            <v>0</v>
          </cell>
          <cell r="EB169">
            <v>0</v>
          </cell>
        </row>
        <row r="227">
          <cell r="BV227">
            <v>0</v>
          </cell>
        </row>
        <row r="228">
          <cell r="BV228">
            <v>0</v>
          </cell>
        </row>
        <row r="239">
          <cell r="BV239">
            <v>0</v>
          </cell>
        </row>
        <row r="240">
          <cell r="BV240">
            <v>0</v>
          </cell>
        </row>
      </sheetData>
      <sheetData sheetId="4">
        <row r="12">
          <cell r="H12">
            <v>-58956332</v>
          </cell>
          <cell r="M12">
            <v>-18484170</v>
          </cell>
          <cell r="R12">
            <v>3349854</v>
          </cell>
          <cell r="W12">
            <v>-22973000</v>
          </cell>
          <cell r="AB12">
            <v>-53649787</v>
          </cell>
          <cell r="AG12">
            <v>41961434</v>
          </cell>
          <cell r="AL12">
            <v>-13252498</v>
          </cell>
          <cell r="AQ12">
            <v>-40961985</v>
          </cell>
          <cell r="AV12">
            <v>-19510192</v>
          </cell>
          <cell r="BA12">
            <v>-18762903</v>
          </cell>
          <cell r="BF12">
            <v>-420333</v>
          </cell>
          <cell r="BK12">
            <v>-11986294</v>
          </cell>
          <cell r="BP12">
            <v>52747862</v>
          </cell>
          <cell r="BU12">
            <v>-101942012</v>
          </cell>
          <cell r="CY12">
            <v>10515236</v>
          </cell>
          <cell r="DD12">
            <v>-104528279</v>
          </cell>
          <cell r="DI12">
            <v>2731873</v>
          </cell>
          <cell r="DN12">
            <v>-9369739</v>
          </cell>
          <cell r="DS12">
            <v>-7896523</v>
          </cell>
          <cell r="DX12">
            <v>33364654</v>
          </cell>
          <cell r="EC12">
            <v>-27939762</v>
          </cell>
        </row>
        <row r="23">
          <cell r="H23">
            <v>0</v>
          </cell>
          <cell r="M23">
            <v>34143659</v>
          </cell>
          <cell r="R23">
            <v>-4349966</v>
          </cell>
          <cell r="W23">
            <v>2527515</v>
          </cell>
          <cell r="AB23">
            <v>-24856159</v>
          </cell>
          <cell r="AG23">
            <v>26866570</v>
          </cell>
          <cell r="AL23">
            <v>-5977613</v>
          </cell>
          <cell r="AQ23">
            <v>15416167</v>
          </cell>
          <cell r="AV23">
            <v>-315227</v>
          </cell>
          <cell r="BA23">
            <v>-6539100</v>
          </cell>
          <cell r="BF23">
            <v>59957836</v>
          </cell>
          <cell r="BK23">
            <v>-1550683</v>
          </cell>
          <cell r="BP23">
            <v>-80682653</v>
          </cell>
          <cell r="BU23">
            <v>14640346</v>
          </cell>
          <cell r="CY23">
            <v>-8222766</v>
          </cell>
          <cell r="DD23">
            <v>21412052</v>
          </cell>
          <cell r="DI23">
            <v>67094</v>
          </cell>
          <cell r="DN23">
            <v>5423083</v>
          </cell>
          <cell r="DS23">
            <v>3006040</v>
          </cell>
          <cell r="DX23">
            <v>484408</v>
          </cell>
          <cell r="EC23">
            <v>4553332</v>
          </cell>
        </row>
        <row r="25">
          <cell r="H25">
            <v>0</v>
          </cell>
          <cell r="M25">
            <v>0</v>
          </cell>
          <cell r="R25">
            <v>0</v>
          </cell>
          <cell r="W25">
            <v>0</v>
          </cell>
          <cell r="AB25">
            <v>0</v>
          </cell>
          <cell r="AG25">
            <v>0</v>
          </cell>
          <cell r="AL25">
            <v>0</v>
          </cell>
          <cell r="AQ25">
            <v>0</v>
          </cell>
          <cell r="AV25">
            <v>0</v>
          </cell>
          <cell r="BA25">
            <v>0</v>
          </cell>
          <cell r="BF25">
            <v>0</v>
          </cell>
          <cell r="BK25">
            <v>0</v>
          </cell>
          <cell r="BP25">
            <v>0</v>
          </cell>
          <cell r="BU25">
            <v>0</v>
          </cell>
          <cell r="CY25">
            <v>0</v>
          </cell>
          <cell r="DD25">
            <v>0</v>
          </cell>
          <cell r="DI25">
            <v>0</v>
          </cell>
          <cell r="DN25">
            <v>0</v>
          </cell>
          <cell r="DS25">
            <v>0</v>
          </cell>
          <cell r="DX25">
            <v>0</v>
          </cell>
          <cell r="EC25">
            <v>0</v>
          </cell>
        </row>
        <row r="27">
          <cell r="H27">
            <v>6516232.0023469981</v>
          </cell>
          <cell r="M27">
            <v>0</v>
          </cell>
          <cell r="R27">
            <v>871744.25600000005</v>
          </cell>
          <cell r="W27">
            <v>0</v>
          </cell>
          <cell r="AB27">
            <v>126224</v>
          </cell>
          <cell r="AG27">
            <v>0</v>
          </cell>
          <cell r="AL27">
            <v>3836</v>
          </cell>
          <cell r="AQ27">
            <v>1831061</v>
          </cell>
          <cell r="AV27">
            <v>2236273</v>
          </cell>
          <cell r="BA27">
            <v>1620990</v>
          </cell>
          <cell r="BF27">
            <v>89678</v>
          </cell>
          <cell r="BK27">
            <v>1022787</v>
          </cell>
          <cell r="BP27">
            <v>6347564</v>
          </cell>
          <cell r="BU27">
            <v>14150157.256000001</v>
          </cell>
          <cell r="CY27">
            <v>1736919</v>
          </cell>
          <cell r="DD27">
            <v>245929</v>
          </cell>
          <cell r="DI27">
            <v>2261765</v>
          </cell>
          <cell r="DN27">
            <v>1146180</v>
          </cell>
          <cell r="DS27">
            <v>1005353</v>
          </cell>
          <cell r="DX27">
            <v>41798</v>
          </cell>
          <cell r="EC27">
            <v>360442</v>
          </cell>
        </row>
        <row r="32">
          <cell r="H32">
            <v>0</v>
          </cell>
          <cell r="M32">
            <v>0</v>
          </cell>
          <cell r="R32">
            <v>0</v>
          </cell>
          <cell r="W32">
            <v>0</v>
          </cell>
          <cell r="AB32">
            <v>-22185</v>
          </cell>
          <cell r="AG32">
            <v>0</v>
          </cell>
          <cell r="AL32">
            <v>0</v>
          </cell>
          <cell r="AQ32">
            <v>0</v>
          </cell>
          <cell r="AV32">
            <v>0</v>
          </cell>
          <cell r="BA32">
            <v>0</v>
          </cell>
          <cell r="BF32">
            <v>0</v>
          </cell>
          <cell r="BK32">
            <v>0</v>
          </cell>
          <cell r="BP32">
            <v>-510</v>
          </cell>
          <cell r="BU32">
            <v>-22695</v>
          </cell>
          <cell r="CY32">
            <v>-98</v>
          </cell>
          <cell r="DD32">
            <v>0</v>
          </cell>
          <cell r="DI32">
            <v>-372528</v>
          </cell>
          <cell r="DN32">
            <v>0</v>
          </cell>
          <cell r="DS32">
            <v>0</v>
          </cell>
          <cell r="DX32">
            <v>0</v>
          </cell>
          <cell r="EC32">
            <v>0</v>
          </cell>
        </row>
        <row r="38">
          <cell r="H38">
            <v>0</v>
          </cell>
          <cell r="M38">
            <v>-34158767.953769997</v>
          </cell>
          <cell r="R38">
            <v>665778.1075699823</v>
          </cell>
          <cell r="W38">
            <v>-3529360.3766400218</v>
          </cell>
          <cell r="AB38">
            <v>39129472.039829999</v>
          </cell>
          <cell r="AG38">
            <v>-36409361.543499991</v>
          </cell>
          <cell r="AL38">
            <v>10350561.970830038</v>
          </cell>
          <cell r="AQ38">
            <v>-13234789.152860001</v>
          </cell>
          <cell r="AV38">
            <v>-507485.77358999848</v>
          </cell>
          <cell r="BA38">
            <v>5933754.2305000126</v>
          </cell>
          <cell r="BF38">
            <v>-33766452.223689988</v>
          </cell>
          <cell r="BK38">
            <v>-3541595.2070199698</v>
          </cell>
          <cell r="BP38">
            <v>51076041.623150021</v>
          </cell>
          <cell r="BU38">
            <v>-17992204.259189919</v>
          </cell>
          <cell r="CY38">
            <v>-9967884.6452499926</v>
          </cell>
          <cell r="DD38">
            <v>-4315544.2743200064</v>
          </cell>
          <cell r="DI38">
            <v>-395955.53492997866</v>
          </cell>
          <cell r="DN38">
            <v>-18897629.034100011</v>
          </cell>
          <cell r="DS38">
            <v>-1291051.2250600038</v>
          </cell>
          <cell r="DX38">
            <v>-2746121.6662400216</v>
          </cell>
          <cell r="EC38">
            <v>-5785998.0916399956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K114">
            <v>108554101.37664002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F6">
            <v>25590572</v>
          </cell>
          <cell r="Q6">
            <v>574224</v>
          </cell>
        </row>
        <row r="40">
          <cell r="Q40">
            <v>-410372</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G6">
            <v>1236489</v>
          </cell>
        </row>
        <row r="40">
          <cell r="G40">
            <v>-18</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H6">
            <v>2807140</v>
          </cell>
        </row>
        <row r="40">
          <cell r="H40">
            <v>-111334</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I6">
            <v>3319954</v>
          </cell>
        </row>
        <row r="40">
          <cell r="I40">
            <v>-2</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J6">
            <v>3550323</v>
          </cell>
        </row>
        <row r="40">
          <cell r="J40">
            <v>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K6">
            <v>3161507</v>
          </cell>
        </row>
        <row r="40">
          <cell r="K40">
            <v>-1</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L6">
            <v>1941577</v>
          </cell>
        </row>
        <row r="40">
          <cell r="L40">
            <v>-66260</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M6">
            <v>2581412</v>
          </cell>
        </row>
        <row r="40">
          <cell r="M40">
            <v>-260</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N6">
            <v>900558</v>
          </cell>
        </row>
        <row r="40">
          <cell r="N40">
            <v>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O6">
            <v>2698953</v>
          </cell>
        </row>
        <row r="40">
          <cell r="O40">
            <v>-2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L114">
            <v>62846312.960169993</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P6">
            <v>1360720</v>
          </cell>
        </row>
        <row r="40">
          <cell r="P40">
            <v>-8</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R6">
            <v>1637061</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Prior year TB"/>
      <sheetName val="Exceptions"/>
      <sheetName val="Recon DWS Appropriation"/>
      <sheetName val="Recon STATS SA appropriation"/>
      <sheetName val="Recon to Budget Deficit"/>
      <sheetName val="Recon Note 22"/>
      <sheetName val="Recon Statement 15 Current YR "/>
      <sheetName val="ALM AFS"/>
      <sheetName val="Recon Statement 15 Prior YR"/>
      <sheetName val="ALM note 11 2017-2018"/>
      <sheetName val="Recon to Cash "/>
      <sheetName val="ALM note 11 2016-2017 f"/>
      <sheetName val="Accounting Officers Review"/>
      <sheetName val="Graphs"/>
      <sheetName val="alm note 11 2016-2017"/>
      <sheetName val="ALM Note 11 2015-20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7">
          <cell r="H17">
            <v>917161637240.06995</v>
          </cell>
          <cell r="L17" t="str">
            <v>Inland revenue</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F82">
            <v>34158767.953769997</v>
          </cell>
        </row>
      </sheetData>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G82">
            <v>-665778.1075699823</v>
          </cell>
        </row>
      </sheetData>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H82">
            <v>3529360.3766400218</v>
          </cell>
        </row>
      </sheetData>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I82">
            <v>-39129472.039829999</v>
          </cell>
        </row>
      </sheetData>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J82">
            <v>36409361.543499991</v>
          </cell>
        </row>
      </sheetData>
      <sheetData sheetId="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K82">
            <v>-10350561.970830038</v>
          </cell>
        </row>
      </sheetData>
      <sheetData sheetId="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L82">
            <v>13234789.152860001</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M114">
            <v>101855148.66649999</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M82">
            <v>507485.77358999848</v>
          </cell>
        </row>
      </sheetData>
      <sheetData sheetId="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N82">
            <v>-5933754.2305000126</v>
          </cell>
        </row>
      </sheetData>
      <sheetData sheetId="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O82">
            <v>33766452.223689988</v>
          </cell>
          <cell r="P82">
            <v>3541595.2070199698</v>
          </cell>
          <cell r="Q82">
            <v>-51076041.623150021</v>
          </cell>
        </row>
      </sheetData>
      <sheetData sheetId="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V82">
            <v>676139.5121998759</v>
          </cell>
          <cell r="W82">
            <v>9617047.0857300311</v>
          </cell>
          <cell r="X82">
            <v>-1658010.930979982</v>
          </cell>
          <cell r="Y82">
            <v>-13980252.202720001</v>
          </cell>
          <cell r="Z82">
            <v>8777405.5292999893</v>
          </cell>
          <cell r="AA82">
            <v>9967884.6452499926</v>
          </cell>
          <cell r="AB82">
            <v>4315544.2743200064</v>
          </cell>
          <cell r="AC82">
            <v>395955.53492997866</v>
          </cell>
          <cell r="AD82">
            <v>18897629.034100011</v>
          </cell>
          <cell r="AE82">
            <v>1291051.2250600038</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82">
          <cell r="O82">
            <v>2746121.6662400216</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82">
          <cell r="P82">
            <v>5785998.0916399956</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R6">
            <v>1637061</v>
          </cell>
        </row>
        <row r="40">
          <cell r="R40">
            <v>-86</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 val="October 2020"/>
      <sheetName val="November 2020"/>
      <sheetName val="December 2020"/>
      <sheetName val="January 2021"/>
      <sheetName val="February 2021"/>
      <sheetName val="March 2021"/>
    </sheetNames>
    <sheetDataSet>
      <sheetData sheetId="0">
        <row r="58">
          <cell r="F58">
            <v>651000</v>
          </cell>
        </row>
        <row r="59">
          <cell r="F59">
            <v>42263000</v>
          </cell>
        </row>
        <row r="60">
          <cell r="F60">
            <v>0</v>
          </cell>
        </row>
        <row r="61">
          <cell r="F61">
            <v>0</v>
          </cell>
        </row>
        <row r="62">
          <cell r="F62">
            <v>0</v>
          </cell>
        </row>
        <row r="63">
          <cell r="F63">
            <v>1617743000</v>
          </cell>
        </row>
        <row r="64">
          <cell r="F64">
            <v>204052000</v>
          </cell>
        </row>
        <row r="65">
          <cell r="F65">
            <v>97459000</v>
          </cell>
        </row>
        <row r="66">
          <cell r="F66">
            <v>0</v>
          </cell>
        </row>
        <row r="80">
          <cell r="F80">
            <v>44872627000</v>
          </cell>
        </row>
        <row r="92">
          <cell r="G92">
            <v>4206399562.9699993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 val="October 2020"/>
      <sheetName val="November 2020"/>
    </sheetNames>
    <sheetDataSet>
      <sheetData sheetId="0" refreshError="1"/>
      <sheetData sheetId="1" refreshError="1">
        <row r="58">
          <cell r="F58">
            <v>651000</v>
          </cell>
        </row>
        <row r="59">
          <cell r="F59">
            <v>42263000</v>
          </cell>
        </row>
        <row r="60">
          <cell r="F60">
            <v>0</v>
          </cell>
        </row>
        <row r="61">
          <cell r="F61">
            <v>0</v>
          </cell>
        </row>
        <row r="62">
          <cell r="F62">
            <v>0</v>
          </cell>
        </row>
        <row r="63">
          <cell r="F63">
            <v>1617741000</v>
          </cell>
        </row>
        <row r="64">
          <cell r="F64">
            <v>202104000</v>
          </cell>
        </row>
        <row r="65">
          <cell r="F65">
            <v>87163000</v>
          </cell>
        </row>
        <row r="66">
          <cell r="F66">
            <v>0</v>
          </cell>
        </row>
        <row r="80">
          <cell r="F80">
            <v>44872627000</v>
          </cell>
        </row>
        <row r="92">
          <cell r="F92">
            <v>1879102871.3900003</v>
          </cell>
        </row>
      </sheetData>
      <sheetData sheetId="2" refreshError="1">
        <row r="58">
          <cell r="F58">
            <v>651000</v>
          </cell>
        </row>
        <row r="59">
          <cell r="F59">
            <v>42263000</v>
          </cell>
        </row>
        <row r="60">
          <cell r="F60">
            <v>40000000</v>
          </cell>
        </row>
        <row r="61">
          <cell r="F61">
            <v>0</v>
          </cell>
        </row>
        <row r="62">
          <cell r="F62">
            <v>0</v>
          </cell>
        </row>
        <row r="63">
          <cell r="F63">
            <v>1118322000</v>
          </cell>
        </row>
        <row r="64">
          <cell r="F64">
            <v>203308000</v>
          </cell>
        </row>
        <row r="65">
          <cell r="F65">
            <v>89666000</v>
          </cell>
        </row>
        <row r="66">
          <cell r="F66">
            <v>0</v>
          </cell>
        </row>
        <row r="80">
          <cell r="F80">
            <v>44872627000</v>
          </cell>
        </row>
        <row r="92">
          <cell r="F92">
            <v>22441442097.009998</v>
          </cell>
        </row>
      </sheetData>
      <sheetData sheetId="3" refreshError="1"/>
      <sheetData sheetId="4" refreshError="1"/>
      <sheetData sheetId="5" refreshError="1"/>
      <sheetData sheetId="6" refreshError="1">
        <row r="58">
          <cell r="F58">
            <v>649000</v>
          </cell>
        </row>
        <row r="59">
          <cell r="F59">
            <v>42263000</v>
          </cell>
        </row>
        <row r="60">
          <cell r="F60">
            <v>0</v>
          </cell>
        </row>
        <row r="63">
          <cell r="F63">
            <v>217362000</v>
          </cell>
        </row>
        <row r="64">
          <cell r="F64">
            <v>0</v>
          </cell>
        </row>
        <row r="65">
          <cell r="F65">
            <v>87116000</v>
          </cell>
        </row>
        <row r="80">
          <cell r="F80">
            <v>44872627000</v>
          </cell>
        </row>
        <row r="92">
          <cell r="F92">
            <v>3518743552.3200016</v>
          </cell>
        </row>
      </sheetData>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H13">
            <v>143000000</v>
          </cell>
          <cell r="AQ13">
            <v>31098565</v>
          </cell>
        </row>
        <row r="25">
          <cell r="AQ25">
            <v>59931421</v>
          </cell>
        </row>
        <row r="26">
          <cell r="AQ26">
            <v>-9026146</v>
          </cell>
        </row>
        <row r="27">
          <cell r="AQ27">
            <v>-333330</v>
          </cell>
        </row>
        <row r="31">
          <cell r="AQ31">
            <v>0</v>
          </cell>
        </row>
        <row r="32">
          <cell r="AQ32">
            <v>0</v>
          </cell>
        </row>
        <row r="33">
          <cell r="AQ33">
            <v>0</v>
          </cell>
        </row>
        <row r="36">
          <cell r="AQ36">
            <v>0</v>
          </cell>
        </row>
        <row r="37">
          <cell r="AQ37">
            <v>0</v>
          </cell>
        </row>
        <row r="46">
          <cell r="AQ46">
            <v>5008164</v>
          </cell>
        </row>
        <row r="47">
          <cell r="H47">
            <v>0</v>
          </cell>
          <cell r="AQ47">
            <v>0</v>
          </cell>
        </row>
        <row r="49">
          <cell r="AQ49">
            <v>0</v>
          </cell>
        </row>
        <row r="50">
          <cell r="AQ50">
            <v>0</v>
          </cell>
        </row>
        <row r="70">
          <cell r="AQ70">
            <v>15416167</v>
          </cell>
        </row>
        <row r="71">
          <cell r="AQ71">
            <v>0</v>
          </cell>
        </row>
        <row r="72">
          <cell r="AQ72">
            <v>1831061</v>
          </cell>
        </row>
        <row r="73">
          <cell r="AQ73">
            <v>0</v>
          </cell>
        </row>
      </sheetData>
      <sheetData sheetId="1" refreshError="1"/>
      <sheetData sheetId="2" refreshError="1"/>
      <sheetData sheetId="3" refreshError="1"/>
      <sheetData sheetId="4" refreshError="1">
        <row r="18">
          <cell r="AQ18">
            <v>150789653</v>
          </cell>
        </row>
        <row r="19">
          <cell r="AQ19">
            <v>188882167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N114">
            <v>105679255.27216996</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V13">
            <v>295423</v>
          </cell>
        </row>
        <row r="25">
          <cell r="AV25">
            <v>46634910</v>
          </cell>
        </row>
        <row r="26">
          <cell r="AV26">
            <v>-7195171</v>
          </cell>
        </row>
        <row r="27">
          <cell r="AV27">
            <v>-314155</v>
          </cell>
        </row>
        <row r="31">
          <cell r="AV31">
            <v>0</v>
          </cell>
        </row>
        <row r="32">
          <cell r="AV32">
            <v>0</v>
          </cell>
        </row>
        <row r="33">
          <cell r="AV33">
            <v>0</v>
          </cell>
        </row>
        <row r="36">
          <cell r="AV36">
            <v>85877</v>
          </cell>
        </row>
        <row r="37">
          <cell r="AV37">
            <v>0</v>
          </cell>
        </row>
        <row r="46">
          <cell r="AV46">
            <v>0</v>
          </cell>
        </row>
        <row r="49">
          <cell r="AV49">
            <v>-1940</v>
          </cell>
        </row>
        <row r="50">
          <cell r="AV50">
            <v>-5027</v>
          </cell>
        </row>
        <row r="70">
          <cell r="AV70">
            <v>-315227</v>
          </cell>
        </row>
        <row r="71">
          <cell r="AV71">
            <v>0</v>
          </cell>
        </row>
        <row r="72">
          <cell r="AV72">
            <v>2236273</v>
          </cell>
        </row>
        <row r="73">
          <cell r="AV73">
            <v>0</v>
          </cell>
        </row>
      </sheetData>
      <sheetData sheetId="1" refreshError="1"/>
      <sheetData sheetId="2" refreshError="1"/>
      <sheetData sheetId="3" refreshError="1"/>
      <sheetData sheetId="4" refreshError="1">
        <row r="18">
          <cell r="AV18">
            <v>150112405</v>
          </cell>
        </row>
        <row r="19">
          <cell r="AV19">
            <v>209069607</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H55">
            <v>0</v>
          </cell>
          <cell r="M55">
            <v>0</v>
          </cell>
        </row>
        <row r="56">
          <cell r="H56">
            <v>0</v>
          </cell>
          <cell r="M56">
            <v>0</v>
          </cell>
        </row>
        <row r="58">
          <cell r="H58">
            <v>0</v>
          </cell>
          <cell r="M58">
            <v>0</v>
          </cell>
        </row>
        <row r="59">
          <cell r="H59">
            <v>0</v>
          </cell>
          <cell r="M59">
            <v>0</v>
          </cell>
        </row>
      </sheetData>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R55">
            <v>0</v>
          </cell>
        </row>
        <row r="56">
          <cell r="R56">
            <v>0</v>
          </cell>
        </row>
        <row r="58">
          <cell r="R58">
            <v>0</v>
          </cell>
        </row>
        <row r="59">
          <cell r="R59">
            <v>0</v>
          </cell>
        </row>
      </sheetData>
      <sheetData sheetId="1"/>
      <sheetData sheetId="2"/>
      <sheetData sheetId="3"/>
      <sheetData sheetId="4"/>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BP55">
            <v>0</v>
          </cell>
        </row>
        <row r="56">
          <cell r="BP56">
            <v>0</v>
          </cell>
        </row>
        <row r="58">
          <cell r="BP58">
            <v>0</v>
          </cell>
        </row>
        <row r="59">
          <cell r="BP59">
            <v>0</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O114">
            <v>83230717.11586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P114">
            <v>99218194.778589994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239"/>
  <sheetViews>
    <sheetView view="pageBreakPreview" topLeftCell="Q3" zoomScaleNormal="100" zoomScaleSheetLayoutView="100" workbookViewId="0">
      <selection activeCell="T9" sqref="T9"/>
    </sheetView>
  </sheetViews>
  <sheetFormatPr defaultColWidth="3" defaultRowHeight="10.199999999999999" x14ac:dyDescent="0.2"/>
  <cols>
    <col min="1" max="1" width="0.88671875" style="15" customWidth="1"/>
    <col min="2" max="2" width="1" style="15" customWidth="1"/>
    <col min="3" max="3" width="1.33203125" style="15" customWidth="1"/>
    <col min="4" max="4" width="50.5546875" style="15" customWidth="1"/>
    <col min="5" max="5" width="4.6640625" style="15" customWidth="1"/>
    <col min="6" max="6" width="5.6640625" style="15" customWidth="1"/>
    <col min="7" max="7" width="18.5546875" style="15" customWidth="1"/>
    <col min="8" max="20" width="15.6640625" style="15" customWidth="1"/>
    <col min="21" max="21" width="1.6640625" style="15" customWidth="1"/>
    <col min="22" max="22" width="4" style="15" customWidth="1"/>
    <col min="23" max="23" width="3.33203125" style="15" customWidth="1"/>
    <col min="24" max="26" width="3.109375" style="15" customWidth="1"/>
    <col min="27" max="27" width="9.33203125" style="15" customWidth="1"/>
    <col min="28" max="29" width="3.109375" style="15" customWidth="1"/>
    <col min="30" max="72" width="1.6640625" style="15" customWidth="1"/>
    <col min="73" max="16384" width="3" style="15"/>
  </cols>
  <sheetData>
    <row r="1" spans="2:43" s="2" customFormat="1" ht="12.75" hidden="1" x14ac:dyDescent="0.25">
      <c r="B1" s="681" t="s">
        <v>0</v>
      </c>
      <c r="C1" s="682"/>
      <c r="D1" s="682"/>
      <c r="E1" s="682"/>
      <c r="F1" s="682"/>
      <c r="G1" s="682"/>
      <c r="H1" s="682"/>
      <c r="I1" s="682"/>
      <c r="J1" s="682"/>
      <c r="K1" s="682"/>
      <c r="L1" s="682"/>
      <c r="M1" s="682"/>
      <c r="N1" s="682"/>
      <c r="O1" s="682"/>
      <c r="P1" s="682"/>
      <c r="Q1" s="682"/>
      <c r="R1" s="682"/>
      <c r="S1" s="682"/>
      <c r="T1" s="682"/>
      <c r="U1" s="1"/>
    </row>
    <row r="2" spans="2:43" s="5" customFormat="1" ht="18.75" hidden="1" customHeight="1" thickBot="1" x14ac:dyDescent="0.3">
      <c r="B2" s="683" t="s">
        <v>1</v>
      </c>
      <c r="C2" s="684"/>
      <c r="D2" s="684"/>
      <c r="E2" s="684"/>
      <c r="F2" s="684"/>
      <c r="G2" s="684"/>
      <c r="H2" s="684"/>
      <c r="I2" s="684"/>
      <c r="J2" s="684"/>
      <c r="K2" s="684"/>
      <c r="L2" s="684"/>
      <c r="M2" s="684"/>
      <c r="N2" s="684"/>
      <c r="O2" s="684"/>
      <c r="P2" s="684"/>
      <c r="Q2" s="684"/>
      <c r="R2" s="684"/>
      <c r="S2" s="684"/>
      <c r="T2" s="684"/>
      <c r="U2" s="3"/>
      <c r="V2" s="4"/>
      <c r="W2" s="4"/>
      <c r="X2" s="4"/>
      <c r="Y2" s="4"/>
      <c r="Z2" s="4"/>
      <c r="AA2" s="4"/>
    </row>
    <row r="3" spans="2:43" s="5" customFormat="1" ht="15.75" x14ac:dyDescent="0.25">
      <c r="B3" s="6"/>
      <c r="C3" s="7"/>
      <c r="F3" s="8"/>
      <c r="H3" s="9"/>
      <c r="I3" s="9"/>
      <c r="J3" s="9"/>
      <c r="K3" s="9"/>
      <c r="L3" s="9"/>
      <c r="M3" s="9"/>
      <c r="N3" s="9"/>
      <c r="O3" s="9"/>
      <c r="P3" s="9"/>
      <c r="Q3" s="9"/>
      <c r="R3" s="9"/>
      <c r="S3" s="9"/>
      <c r="T3" s="8"/>
    </row>
    <row r="4" spans="2:43" ht="15.75" x14ac:dyDescent="0.25">
      <c r="B4" s="10" t="s">
        <v>2</v>
      </c>
      <c r="C4" s="11"/>
      <c r="D4" s="12"/>
      <c r="E4" s="12"/>
      <c r="F4" s="13"/>
      <c r="G4" s="12"/>
      <c r="H4" s="14"/>
      <c r="I4" s="14"/>
      <c r="J4" s="14"/>
      <c r="K4" s="14"/>
      <c r="L4" s="14"/>
      <c r="M4" s="14"/>
      <c r="N4" s="14"/>
      <c r="O4" s="14"/>
      <c r="P4" s="14"/>
      <c r="Q4" s="14"/>
      <c r="R4" s="14"/>
      <c r="S4" s="14"/>
      <c r="T4" s="13"/>
    </row>
    <row r="5" spans="2:43" s="19" customFormat="1" ht="12.75" x14ac:dyDescent="0.2">
      <c r="B5" s="16"/>
      <c r="C5" s="7"/>
      <c r="D5" s="7"/>
      <c r="E5" s="7"/>
      <c r="F5" s="17"/>
      <c r="G5" s="685" t="s">
        <v>3</v>
      </c>
      <c r="H5" s="686"/>
      <c r="I5" s="686"/>
      <c r="J5" s="686"/>
      <c r="K5" s="686"/>
      <c r="L5" s="686"/>
      <c r="M5" s="686"/>
      <c r="N5" s="686"/>
      <c r="O5" s="686"/>
      <c r="P5" s="686"/>
      <c r="Q5" s="686"/>
      <c r="R5" s="686"/>
      <c r="S5" s="686"/>
      <c r="T5" s="687"/>
      <c r="U5" s="18"/>
    </row>
    <row r="6" spans="2:43" s="19" customFormat="1" ht="12.75" x14ac:dyDescent="0.2">
      <c r="B6" s="16"/>
      <c r="C6" s="7"/>
      <c r="D6" s="7"/>
      <c r="E6" s="7"/>
      <c r="F6" s="20"/>
      <c r="G6" s="21" t="s">
        <v>4</v>
      </c>
      <c r="H6" s="21" t="s">
        <v>5</v>
      </c>
      <c r="I6" s="22" t="s">
        <v>6</v>
      </c>
      <c r="J6" s="22" t="s">
        <v>7</v>
      </c>
      <c r="K6" s="22" t="s">
        <v>8</v>
      </c>
      <c r="L6" s="22" t="s">
        <v>9</v>
      </c>
      <c r="M6" s="22" t="s">
        <v>10</v>
      </c>
      <c r="N6" s="22" t="s">
        <v>11</v>
      </c>
      <c r="O6" s="22" t="s">
        <v>12</v>
      </c>
      <c r="P6" s="22" t="s">
        <v>13</v>
      </c>
      <c r="Q6" s="22" t="s">
        <v>14</v>
      </c>
      <c r="R6" s="22" t="s">
        <v>15</v>
      </c>
      <c r="S6" s="22" t="s">
        <v>16</v>
      </c>
      <c r="T6" s="23" t="s">
        <v>17</v>
      </c>
      <c r="U6" s="18"/>
      <c r="V6" s="24"/>
      <c r="W6" s="24"/>
      <c r="X6" s="24"/>
      <c r="Y6" s="24"/>
      <c r="Z6" s="24"/>
      <c r="AA6" s="24"/>
    </row>
    <row r="7" spans="2:43" s="19" customFormat="1" ht="12.75" x14ac:dyDescent="0.2">
      <c r="B7" s="25" t="s">
        <v>18</v>
      </c>
      <c r="C7" s="26"/>
      <c r="D7" s="26"/>
      <c r="E7" s="26"/>
      <c r="F7" s="27" t="s">
        <v>19</v>
      </c>
      <c r="G7" s="28" t="s">
        <v>20</v>
      </c>
      <c r="H7" s="28"/>
      <c r="I7" s="29"/>
      <c r="J7" s="29"/>
      <c r="K7" s="29"/>
      <c r="L7" s="29"/>
      <c r="M7" s="29"/>
      <c r="N7" s="29"/>
      <c r="O7" s="29"/>
      <c r="P7" s="29"/>
      <c r="Q7" s="29"/>
      <c r="R7" s="29"/>
      <c r="S7" s="29"/>
      <c r="T7" s="30"/>
      <c r="U7" s="18"/>
      <c r="V7" s="24"/>
      <c r="W7" s="24"/>
      <c r="X7" s="24"/>
      <c r="Y7" s="24"/>
      <c r="Z7" s="24"/>
      <c r="AA7" s="24"/>
    </row>
    <row r="8" spans="2:43" s="19" customFormat="1" ht="12.75" x14ac:dyDescent="0.2">
      <c r="B8" s="31"/>
      <c r="C8" s="32"/>
      <c r="D8" s="32"/>
      <c r="E8" s="32"/>
      <c r="F8" s="33"/>
      <c r="G8" s="34"/>
      <c r="H8" s="35"/>
      <c r="I8" s="35"/>
      <c r="J8" s="35"/>
      <c r="K8" s="35"/>
      <c r="L8" s="35"/>
      <c r="M8" s="36"/>
      <c r="N8" s="36"/>
      <c r="O8" s="36"/>
      <c r="P8" s="36"/>
      <c r="Q8" s="36"/>
      <c r="R8" s="36"/>
      <c r="S8" s="36"/>
      <c r="T8" s="37"/>
      <c r="U8" s="18"/>
    </row>
    <row r="9" spans="2:43" s="19" customFormat="1" ht="12.75" x14ac:dyDescent="0.2">
      <c r="B9" s="16" t="s">
        <v>21</v>
      </c>
      <c r="C9" s="7"/>
      <c r="D9" s="39"/>
      <c r="E9" s="39"/>
      <c r="F9" s="20">
        <v>1</v>
      </c>
      <c r="G9" s="35">
        <f>+'[1]Statement 1'!$H$114</f>
        <v>1200785660.997653</v>
      </c>
      <c r="H9" s="35">
        <f>+'[2]Statement 1'!$I$114</f>
        <v>63095740.380769998</v>
      </c>
      <c r="I9" s="40">
        <f>+'[3]Statement 1'!$J$114</f>
        <v>68106446.022430018</v>
      </c>
      <c r="J9" s="40">
        <f>+'[4]Statement 1'!$K$114</f>
        <v>108554101.37664002</v>
      </c>
      <c r="K9" s="40">
        <f>+'[5]Statement 1'!$L$114</f>
        <v>62846312.960169993</v>
      </c>
      <c r="L9" s="40">
        <f>+'[6]Statement 1'!$M$114</f>
        <v>101855148.66649999</v>
      </c>
      <c r="M9" s="40">
        <f>+'[7]Statement 1'!$N$114</f>
        <v>105679255.27216996</v>
      </c>
      <c r="N9" s="40">
        <f>+'[8]Statement 1'!$O$114</f>
        <v>83230717.11586</v>
      </c>
      <c r="O9" s="40">
        <f>+'[9]Statement 1'!$P$114</f>
        <v>99218194.778589994</v>
      </c>
      <c r="P9" s="40">
        <f>+'[10]Statement 1'!$Q$114</f>
        <v>176370693.76949999</v>
      </c>
      <c r="Q9" s="40">
        <f>+'[11]Statement 1'!$R$114</f>
        <v>87529069.714939982</v>
      </c>
      <c r="R9" s="40">
        <f>+'[11]Statement 1'!$S$114</f>
        <v>132692829.92872997</v>
      </c>
      <c r="S9" s="40">
        <f>+'[3]Statement 1'!$T$114</f>
        <v>146956569.37684998</v>
      </c>
      <c r="T9" s="41">
        <f>SUM(H9:S9)</f>
        <v>1236135079.3631496</v>
      </c>
      <c r="U9" s="42"/>
      <c r="V9" s="44"/>
      <c r="W9" s="44"/>
      <c r="X9" s="44"/>
      <c r="Y9" s="44"/>
      <c r="Z9" s="44"/>
      <c r="AA9" s="44"/>
      <c r="AB9" s="44"/>
      <c r="AD9" s="44"/>
      <c r="AE9" s="44"/>
      <c r="AF9" s="44"/>
      <c r="AG9" s="44"/>
      <c r="AH9" s="44"/>
      <c r="AI9" s="44"/>
      <c r="AJ9" s="44"/>
      <c r="AK9" s="44"/>
      <c r="AL9" s="44"/>
      <c r="AM9" s="44"/>
      <c r="AN9" s="44"/>
      <c r="AO9" s="44"/>
      <c r="AP9" s="44"/>
      <c r="AQ9" s="44"/>
    </row>
    <row r="10" spans="2:43" s="19" customFormat="1" ht="12.75" x14ac:dyDescent="0.2">
      <c r="B10" s="18"/>
      <c r="C10" s="39"/>
      <c r="D10" s="39"/>
      <c r="E10" s="39"/>
      <c r="F10" s="45"/>
      <c r="G10" s="46"/>
      <c r="H10" s="47"/>
      <c r="I10" s="48"/>
      <c r="J10" s="48"/>
      <c r="K10" s="48"/>
      <c r="L10" s="48"/>
      <c r="M10" s="48"/>
      <c r="N10" s="48"/>
      <c r="O10" s="48"/>
      <c r="P10" s="48"/>
      <c r="Q10" s="48"/>
      <c r="R10" s="48"/>
      <c r="S10" s="48"/>
      <c r="T10" s="49"/>
      <c r="U10" s="42"/>
      <c r="V10" s="50"/>
      <c r="W10" s="50"/>
      <c r="X10" s="50"/>
      <c r="Y10" s="50"/>
      <c r="Z10" s="50"/>
      <c r="AA10" s="50"/>
    </row>
    <row r="11" spans="2:43" s="19" customFormat="1" ht="12.75" x14ac:dyDescent="0.2">
      <c r="B11" s="16" t="s">
        <v>22</v>
      </c>
      <c r="C11" s="7"/>
      <c r="D11" s="39"/>
      <c r="E11" s="39"/>
      <c r="F11" s="20">
        <v>2</v>
      </c>
      <c r="G11" s="35">
        <f>+G13+G15+G34</f>
        <v>1804174081</v>
      </c>
      <c r="H11" s="35">
        <f t="shared" ref="H11:T11" si="0">+H13+H15+H34</f>
        <v>114252197.427</v>
      </c>
      <c r="I11" s="35">
        <f t="shared" si="0"/>
        <v>120475526.13</v>
      </c>
      <c r="J11" s="35">
        <f t="shared" si="0"/>
        <v>130850284</v>
      </c>
      <c r="K11" s="35">
        <f t="shared" si="0"/>
        <v>197375961</v>
      </c>
      <c r="L11" s="35">
        <f t="shared" si="0"/>
        <v>165528942.123</v>
      </c>
      <c r="M11" s="35">
        <f t="shared" si="0"/>
        <v>148546057.243</v>
      </c>
      <c r="N11" s="35">
        <f t="shared" si="0"/>
        <v>132959844.963</v>
      </c>
      <c r="O11" s="35">
        <f t="shared" si="0"/>
        <v>120621480.005</v>
      </c>
      <c r="P11" s="35">
        <f t="shared" si="0"/>
        <v>171319375</v>
      </c>
      <c r="Q11" s="35">
        <f t="shared" si="0"/>
        <v>163711820.23699999</v>
      </c>
      <c r="R11" s="35">
        <f>+R13+R15+R34</f>
        <v>145575977.97599</v>
      </c>
      <c r="S11" s="35">
        <f t="shared" si="0"/>
        <v>176775322</v>
      </c>
      <c r="T11" s="35">
        <f t="shared" si="0"/>
        <v>1787992789.1039901</v>
      </c>
      <c r="U11" s="42"/>
      <c r="V11" s="50"/>
      <c r="W11" s="50"/>
      <c r="X11" s="50"/>
      <c r="Y11" s="50"/>
      <c r="Z11" s="50"/>
      <c r="AA11" s="50"/>
    </row>
    <row r="12" spans="2:43" s="19" customFormat="1" ht="12.75" x14ac:dyDescent="0.2">
      <c r="B12" s="16"/>
      <c r="C12" s="7"/>
      <c r="D12" s="39"/>
      <c r="E12" s="39"/>
      <c r="F12" s="20"/>
      <c r="G12" s="35"/>
      <c r="H12" s="35"/>
      <c r="I12" s="40"/>
      <c r="J12" s="40"/>
      <c r="K12" s="40"/>
      <c r="L12" s="40"/>
      <c r="M12" s="40"/>
      <c r="N12" s="40"/>
      <c r="O12" s="40"/>
      <c r="P12" s="40"/>
      <c r="Q12" s="40"/>
      <c r="R12" s="40"/>
      <c r="S12" s="40"/>
      <c r="T12" s="40"/>
      <c r="U12" s="42"/>
      <c r="V12" s="50"/>
      <c r="W12" s="50"/>
      <c r="X12" s="50"/>
      <c r="Y12" s="50"/>
      <c r="Z12" s="50"/>
      <c r="AA12" s="50"/>
    </row>
    <row r="13" spans="2:43" s="19" customFormat="1" ht="12.75" x14ac:dyDescent="0.2">
      <c r="B13" s="51"/>
      <c r="C13" s="7" t="s">
        <v>23</v>
      </c>
      <c r="D13" s="39"/>
      <c r="E13" s="39"/>
      <c r="F13" s="20">
        <v>2</v>
      </c>
      <c r="G13" s="52">
        <f>+'[12]20-21'!$I$48</f>
        <v>1025349737</v>
      </c>
      <c r="H13" s="52">
        <f>+'[13]20-21'!$N$48</f>
        <v>63165298</v>
      </c>
      <c r="I13" s="41">
        <f>+'[14]20-21'!$S$48</f>
        <v>71995377</v>
      </c>
      <c r="J13" s="41">
        <f>+'[15]20-21'!$X$48</f>
        <v>61212482</v>
      </c>
      <c r="K13" s="41">
        <f>+'[16]20-21'!$AC$48</f>
        <v>118355901</v>
      </c>
      <c r="L13" s="41">
        <f>+'[17]20-21'!$AH$48</f>
        <v>82985001</v>
      </c>
      <c r="M13" s="41">
        <f>+'[18]20-21'!$AM$48</f>
        <v>75682961</v>
      </c>
      <c r="N13" s="41">
        <f>+'[19]20-21'!$AR$48</f>
        <v>84022361</v>
      </c>
      <c r="O13" s="41">
        <f>+'[20]20-21'!$AW$48</f>
        <v>71737880</v>
      </c>
      <c r="P13" s="41">
        <f>+'[21]20-21'!$BB$48</f>
        <v>103042121</v>
      </c>
      <c r="Q13" s="41">
        <f>+'[22]20-21'!$BG$48</f>
        <v>89092970</v>
      </c>
      <c r="R13" s="41">
        <f>+'[12]20-21'!$BL$48</f>
        <v>71862220</v>
      </c>
      <c r="S13" s="41">
        <f>+'[23]20-21'!$BQ$48</f>
        <v>110219519</v>
      </c>
      <c r="T13" s="41">
        <f>SUM(H13:S13)</f>
        <v>1003374091</v>
      </c>
      <c r="U13" s="42"/>
      <c r="V13" s="50"/>
      <c r="W13" s="50"/>
      <c r="X13" s="50"/>
      <c r="Y13" s="50"/>
      <c r="Z13" s="50"/>
      <c r="AA13" s="50"/>
    </row>
    <row r="14" spans="2:43" s="19" customFormat="1" ht="12.75" x14ac:dyDescent="0.2">
      <c r="B14" s="16"/>
      <c r="C14" s="7"/>
      <c r="D14" s="39"/>
      <c r="E14" s="39"/>
      <c r="F14" s="20"/>
      <c r="G14" s="35"/>
      <c r="H14" s="35"/>
      <c r="I14" s="40"/>
      <c r="J14" s="40"/>
      <c r="K14" s="40"/>
      <c r="L14" s="40"/>
      <c r="M14" s="40"/>
      <c r="N14" s="40"/>
      <c r="O14" s="40"/>
      <c r="P14" s="40"/>
      <c r="Q14" s="40"/>
      <c r="R14" s="40"/>
      <c r="S14" s="40"/>
      <c r="T14" s="40"/>
      <c r="U14" s="42"/>
      <c r="V14" s="50"/>
      <c r="W14" s="50"/>
      <c r="X14" s="50"/>
      <c r="Y14" s="50"/>
      <c r="Z14" s="50"/>
      <c r="AA14" s="50"/>
    </row>
    <row r="15" spans="2:43" s="19" customFormat="1" ht="12.75" x14ac:dyDescent="0.2">
      <c r="B15" s="51"/>
      <c r="C15" s="7" t="s">
        <v>24</v>
      </c>
      <c r="D15" s="39"/>
      <c r="E15" s="39"/>
      <c r="F15" s="20">
        <v>2</v>
      </c>
      <c r="G15" s="52">
        <f>SUM(G16:G32)-G21</f>
        <v>782517261</v>
      </c>
      <c r="H15" s="52">
        <f t="shared" ref="H15:S15" si="1">SUM(H16:H32)-H21</f>
        <v>51086899.427000001</v>
      </c>
      <c r="I15" s="52">
        <f t="shared" si="1"/>
        <v>48480149.130000003</v>
      </c>
      <c r="J15" s="52">
        <f t="shared" si="1"/>
        <v>69637802</v>
      </c>
      <c r="K15" s="52">
        <f t="shared" si="1"/>
        <v>79020060</v>
      </c>
      <c r="L15" s="52">
        <f t="shared" si="1"/>
        <v>82543941.122999996</v>
      </c>
      <c r="M15" s="52">
        <f>SUM(M16:M32)-M21-M26</f>
        <v>72863096.243000001</v>
      </c>
      <c r="N15" s="52">
        <f t="shared" si="1"/>
        <v>48937483.963</v>
      </c>
      <c r="O15" s="52">
        <f t="shared" si="1"/>
        <v>48883600.005000003</v>
      </c>
      <c r="P15" s="52">
        <f>SUM(P16:P32)-P21-P26</f>
        <v>68277254</v>
      </c>
      <c r="Q15" s="52">
        <f t="shared" si="1"/>
        <v>74618850.236999989</v>
      </c>
      <c r="R15" s="52">
        <f t="shared" si="1"/>
        <v>73713757.975989997</v>
      </c>
      <c r="S15" s="52">
        <f t="shared" si="1"/>
        <v>66555803</v>
      </c>
      <c r="T15" s="53">
        <f>SUM(T16:T32)-T21-T26</f>
        <v>784618698.10398996</v>
      </c>
      <c r="U15" s="54">
        <f t="shared" ref="U15" si="2">SUM(U16:U32)-U26</f>
        <v>0</v>
      </c>
      <c r="V15" s="50"/>
      <c r="W15" s="50"/>
      <c r="X15" s="50"/>
      <c r="Y15" s="50"/>
      <c r="Z15" s="50"/>
      <c r="AA15" s="50"/>
    </row>
    <row r="16" spans="2:43" s="19" customFormat="1" ht="12.75" x14ac:dyDescent="0.2">
      <c r="B16" s="51"/>
      <c r="C16" s="7"/>
      <c r="D16" s="56" t="s">
        <v>25</v>
      </c>
      <c r="E16" s="56"/>
      <c r="F16" s="57"/>
      <c r="G16" s="58">
        <f>+'[21]20-21'!$I$53</f>
        <v>233027798</v>
      </c>
      <c r="H16" s="58">
        <f>+'[13]20-21'!$N$53</f>
        <v>4156462.4270000001</v>
      </c>
      <c r="I16" s="59">
        <f>+'[14]20-21'!$S$53</f>
        <v>1746959.1300000001</v>
      </c>
      <c r="J16" s="59">
        <f>+'[15]20-21'!$X$53</f>
        <v>23287136</v>
      </c>
      <c r="K16" s="59">
        <f>+'[16]20-21'!$AC$53</f>
        <v>33793248</v>
      </c>
      <c r="L16" s="59">
        <f>+'[17]20-21'!$AH$53</f>
        <v>32588390.123</v>
      </c>
      <c r="M16" s="59">
        <f>+'[18]20-21'!$AM$53</f>
        <v>20719704.243000001</v>
      </c>
      <c r="N16" s="59">
        <f>+'[19]20-21'!$AR$53</f>
        <v>3593963.963</v>
      </c>
      <c r="O16" s="59">
        <f>+'[20]20-21'!$AW$53</f>
        <v>2242145.0050000004</v>
      </c>
      <c r="P16" s="59">
        <f>+'[21]20-21'!$BB$53</f>
        <v>23505078</v>
      </c>
      <c r="Q16" s="59">
        <f>+'[22]20-21'!$BG$53</f>
        <v>33703384.236999996</v>
      </c>
      <c r="R16" s="59">
        <f>+'[12]20-21'!$BL$53</f>
        <v>32103379.975990001</v>
      </c>
      <c r="S16" s="59">
        <f>+'[23]20-21'!$BQ$53</f>
        <v>21155807</v>
      </c>
      <c r="T16" s="59">
        <f>SUM(H16:S16)+1</f>
        <v>232595659.10398996</v>
      </c>
      <c r="U16" s="42"/>
      <c r="V16" s="50"/>
      <c r="W16" s="50"/>
      <c r="X16" s="50"/>
      <c r="Y16" s="50"/>
      <c r="Z16" s="50"/>
      <c r="AA16" s="50"/>
    </row>
    <row r="17" spans="2:27" s="19" customFormat="1" ht="12.75" x14ac:dyDescent="0.2">
      <c r="B17" s="51"/>
      <c r="C17" s="7"/>
      <c r="D17" s="56" t="s">
        <v>26</v>
      </c>
      <c r="E17" s="56"/>
      <c r="F17" s="20"/>
      <c r="G17" s="58">
        <f>+'[21]20-21'!$I$56</f>
        <v>520717021</v>
      </c>
      <c r="H17" s="58">
        <f>+'[13]20-21'!$N$56</f>
        <v>44872627</v>
      </c>
      <c r="I17" s="59">
        <f>+'[14]20-21'!$S$56</f>
        <v>44872627</v>
      </c>
      <c r="J17" s="59">
        <f>+'[15]20-21'!$X$56</f>
        <v>44872627</v>
      </c>
      <c r="K17" s="59">
        <f>+'[16]20-21'!$AC$56</f>
        <v>44872627</v>
      </c>
      <c r="L17" s="59">
        <f>+'[17]20-21'!$AH$56</f>
        <v>44872627</v>
      </c>
      <c r="M17" s="59">
        <f>+'[18]20-21'!$AM$56</f>
        <v>44872627</v>
      </c>
      <c r="N17" s="59">
        <f>+'[19]20-21'!$AR$56</f>
        <v>44872627</v>
      </c>
      <c r="O17" s="59">
        <f>+'[20]20-21'!$AW$56</f>
        <v>44872626</v>
      </c>
      <c r="P17" s="59">
        <f>+'[21]20-21'!$BB$56</f>
        <v>44872625</v>
      </c>
      <c r="Q17" s="59">
        <f>+'[22]20-21'!$BG$56</f>
        <v>38954457</v>
      </c>
      <c r="R17" s="59">
        <f>+'[12]20-21'!$BL$56</f>
        <v>38954457</v>
      </c>
      <c r="S17" s="59">
        <f>+'[23]20-21'!$BQ$56</f>
        <v>38954467</v>
      </c>
      <c r="T17" s="59">
        <f>SUM(H17:S17)</f>
        <v>520717021</v>
      </c>
      <c r="U17" s="42"/>
      <c r="V17" s="50"/>
      <c r="W17" s="50"/>
      <c r="X17" s="50"/>
      <c r="Y17" s="50"/>
      <c r="Z17" s="50"/>
      <c r="AA17" s="50"/>
    </row>
    <row r="18" spans="2:27" s="19" customFormat="1" ht="12.75" x14ac:dyDescent="0.2">
      <c r="B18" s="51"/>
      <c r="C18" s="7"/>
      <c r="D18" s="56" t="s">
        <v>27</v>
      </c>
      <c r="E18" s="56"/>
      <c r="F18" s="20"/>
      <c r="G18" s="58">
        <f>+'[21]20-21'!$I$57</f>
        <v>14026878</v>
      </c>
      <c r="H18" s="58">
        <f>+'[13]20-21'!$N$57</f>
        <v>0</v>
      </c>
      <c r="I18" s="59">
        <f>+'[14]20-21'!$S$57</f>
        <v>0</v>
      </c>
      <c r="J18" s="59">
        <f>+'[15]20-21'!$X$57</f>
        <v>0</v>
      </c>
      <c r="K18" s="59">
        <f>+'[16]20-21'!$AC$57</f>
        <v>0</v>
      </c>
      <c r="L18" s="59">
        <f>+'[17]20-21'!$AH$57</f>
        <v>4675628</v>
      </c>
      <c r="M18" s="59">
        <f>+'[18]20-21'!$AM$57</f>
        <v>0</v>
      </c>
      <c r="N18" s="59">
        <f>+'[19]20-21'!$AR$57</f>
        <v>0</v>
      </c>
      <c r="O18" s="59">
        <f>+'[20]20-21'!$AW$57</f>
        <v>0</v>
      </c>
      <c r="P18" s="59">
        <f>+'[21]20-21'!$BB$57</f>
        <v>4675628</v>
      </c>
      <c r="Q18" s="59">
        <v>0</v>
      </c>
      <c r="R18" s="59">
        <f>+'[12]20-21'!$BL$57</f>
        <v>0</v>
      </c>
      <c r="S18" s="59">
        <f>+'[23]20-21'!$BQ$57</f>
        <v>4675622</v>
      </c>
      <c r="T18" s="59">
        <f>SUM(H18:S18)</f>
        <v>14026878</v>
      </c>
      <c r="U18" s="42"/>
      <c r="V18" s="50"/>
      <c r="W18" s="50"/>
      <c r="X18" s="50"/>
      <c r="Y18" s="50"/>
      <c r="Z18" s="50"/>
      <c r="AA18" s="50"/>
    </row>
    <row r="19" spans="2:27" s="19" customFormat="1" ht="12.75" x14ac:dyDescent="0.2">
      <c r="B19" s="51"/>
      <c r="C19" s="7"/>
      <c r="D19" s="56" t="str">
        <f>+'[18]20-21'!$A$60</f>
        <v>Other payments</v>
      </c>
      <c r="E19" s="56"/>
      <c r="F19" s="20"/>
      <c r="G19" s="58"/>
      <c r="H19" s="58"/>
      <c r="I19" s="59"/>
      <c r="J19" s="59"/>
      <c r="K19" s="59"/>
      <c r="L19" s="59"/>
      <c r="M19" s="59"/>
      <c r="N19" s="59"/>
      <c r="O19" s="59"/>
      <c r="P19" s="59"/>
      <c r="Q19" s="59"/>
      <c r="R19" s="59"/>
      <c r="S19" s="59"/>
      <c r="T19" s="59"/>
      <c r="U19" s="42"/>
      <c r="V19" s="50"/>
      <c r="W19" s="50"/>
      <c r="X19" s="50"/>
      <c r="Y19" s="50"/>
      <c r="Z19" s="50"/>
      <c r="AA19" s="50"/>
    </row>
    <row r="20" spans="2:27" s="19" customFormat="1" ht="12.75" hidden="1" x14ac:dyDescent="0.2">
      <c r="B20" s="51"/>
      <c r="C20" s="7"/>
      <c r="D20" s="56" t="str">
        <f>+'[24]19-20'!$A$58</f>
        <v>Eskom - payment in terms of Section 16(1) of the PFMA</v>
      </c>
      <c r="E20" s="56"/>
      <c r="F20" s="20"/>
      <c r="G20" s="58"/>
      <c r="H20" s="58"/>
      <c r="I20" s="59"/>
      <c r="J20" s="59"/>
      <c r="K20" s="59"/>
      <c r="L20" s="59"/>
      <c r="M20" s="59"/>
      <c r="N20" s="59"/>
      <c r="O20" s="59"/>
      <c r="P20" s="59"/>
      <c r="Q20" s="59"/>
      <c r="R20" s="59"/>
      <c r="S20" s="59"/>
      <c r="T20" s="59"/>
      <c r="U20" s="42"/>
      <c r="V20" s="50"/>
      <c r="W20" s="50"/>
      <c r="X20" s="50"/>
      <c r="Y20" s="50"/>
      <c r="Z20" s="50"/>
      <c r="AA20" s="50"/>
    </row>
    <row r="21" spans="2:27" s="67" customFormat="1" ht="12.75" x14ac:dyDescent="0.2">
      <c r="B21" s="60"/>
      <c r="C21" s="61"/>
      <c r="D21" s="62" t="s">
        <v>28</v>
      </c>
      <c r="E21" s="63"/>
      <c r="F21" s="64"/>
      <c r="G21" s="65">
        <f>SUM(G22:G24)</f>
        <v>217761</v>
      </c>
      <c r="H21" s="65">
        <f t="shared" ref="H21:S21" si="3">SUM(H22:H24)</f>
        <v>0</v>
      </c>
      <c r="I21" s="65">
        <f t="shared" si="3"/>
        <v>0</v>
      </c>
      <c r="J21" s="65">
        <f t="shared" si="3"/>
        <v>0</v>
      </c>
      <c r="K21" s="65">
        <f t="shared" si="3"/>
        <v>0</v>
      </c>
      <c r="L21" s="65">
        <f t="shared" si="3"/>
        <v>0</v>
      </c>
      <c r="M21" s="65">
        <f t="shared" si="3"/>
        <v>217761</v>
      </c>
      <c r="N21" s="65">
        <f t="shared" si="3"/>
        <v>0</v>
      </c>
      <c r="O21" s="65">
        <f t="shared" si="3"/>
        <v>0</v>
      </c>
      <c r="P21" s="65">
        <f t="shared" si="3"/>
        <v>0</v>
      </c>
      <c r="Q21" s="65">
        <f t="shared" si="3"/>
        <v>0</v>
      </c>
      <c r="R21" s="65">
        <f>SUM(R22:R25)</f>
        <v>266904</v>
      </c>
      <c r="S21" s="65">
        <f t="shared" si="3"/>
        <v>0</v>
      </c>
      <c r="T21" s="65">
        <f>SUM(T22:T25)</f>
        <v>484665</v>
      </c>
      <c r="U21" s="66"/>
    </row>
    <row r="22" spans="2:27" s="19" customFormat="1" ht="12.75" x14ac:dyDescent="0.2">
      <c r="B22" s="51"/>
      <c r="C22" s="7"/>
      <c r="D22" s="68" t="str">
        <f>+'[18]20-21'!$B$62</f>
        <v xml:space="preserve">South African Express Airways </v>
      </c>
      <c r="E22" s="56"/>
      <c r="F22" s="57"/>
      <c r="G22" s="58">
        <f>+'[21]20-21'!$H$62</f>
        <v>143395</v>
      </c>
      <c r="H22" s="65">
        <f t="shared" ref="H22:L22" si="4">SUM(H23:H25)</f>
        <v>0</v>
      </c>
      <c r="I22" s="65">
        <f t="shared" si="4"/>
        <v>0</v>
      </c>
      <c r="J22" s="65">
        <f t="shared" si="4"/>
        <v>0</v>
      </c>
      <c r="K22" s="65">
        <f t="shared" si="4"/>
        <v>0</v>
      </c>
      <c r="L22" s="65">
        <f t="shared" si="4"/>
        <v>0</v>
      </c>
      <c r="M22" s="58">
        <f>+'[18]20-21'!$AL$62</f>
        <v>143395</v>
      </c>
      <c r="N22" s="59">
        <v>0</v>
      </c>
      <c r="O22" s="59">
        <v>0</v>
      </c>
      <c r="P22" s="59">
        <v>0</v>
      </c>
      <c r="Q22" s="59">
        <v>0</v>
      </c>
      <c r="R22" s="59">
        <v>0</v>
      </c>
      <c r="S22" s="59">
        <v>0</v>
      </c>
      <c r="T22" s="59">
        <f>SUM(H22:S22)</f>
        <v>143395</v>
      </c>
      <c r="U22" s="42"/>
      <c r="V22" s="50"/>
      <c r="W22" s="50"/>
      <c r="X22" s="50"/>
      <c r="Y22" s="50"/>
      <c r="Z22" s="50"/>
      <c r="AA22" s="50"/>
    </row>
    <row r="23" spans="2:27" s="19" customFormat="1" ht="12.75" x14ac:dyDescent="0.2">
      <c r="B23" s="51"/>
      <c r="C23" s="7"/>
      <c r="D23" s="68" t="s">
        <v>29</v>
      </c>
      <c r="E23" s="56"/>
      <c r="F23" s="57"/>
      <c r="G23" s="58">
        <v>0</v>
      </c>
      <c r="H23" s="65">
        <f t="shared" ref="H23:L23" si="5">SUM(H24:H26)</f>
        <v>0</v>
      </c>
      <c r="I23" s="65">
        <f t="shared" si="5"/>
        <v>0</v>
      </c>
      <c r="J23" s="65">
        <f t="shared" si="5"/>
        <v>0</v>
      </c>
      <c r="K23" s="65">
        <f t="shared" si="5"/>
        <v>0</v>
      </c>
      <c r="L23" s="65">
        <f t="shared" si="5"/>
        <v>0</v>
      </c>
      <c r="M23" s="58">
        <v>0</v>
      </c>
      <c r="N23" s="59">
        <v>0</v>
      </c>
      <c r="O23" s="59">
        <v>0</v>
      </c>
      <c r="P23" s="59">
        <v>0</v>
      </c>
      <c r="Q23" s="59">
        <v>0</v>
      </c>
      <c r="R23" s="59">
        <v>266904</v>
      </c>
      <c r="S23" s="59">
        <v>0</v>
      </c>
      <c r="T23" s="59">
        <f>SUM(H23:S23)</f>
        <v>266904</v>
      </c>
      <c r="U23" s="42"/>
      <c r="V23" s="50"/>
      <c r="W23" s="50"/>
      <c r="X23" s="50"/>
      <c r="Y23" s="50"/>
      <c r="Z23" s="50"/>
      <c r="AA23" s="50"/>
    </row>
    <row r="24" spans="2:27" s="19" customFormat="1" ht="12.75" x14ac:dyDescent="0.2">
      <c r="B24" s="51"/>
      <c r="C24" s="7"/>
      <c r="D24" s="68" t="str">
        <f>+'[18]20-21'!$B$63</f>
        <v>Land and Agricultural Development Bank of SA</v>
      </c>
      <c r="E24" s="56"/>
      <c r="F24" s="57"/>
      <c r="G24" s="58">
        <f>+'[21]20-21'!$H$63</f>
        <v>74366</v>
      </c>
      <c r="H24" s="58"/>
      <c r="I24" s="59"/>
      <c r="J24" s="59"/>
      <c r="K24" s="59"/>
      <c r="L24" s="69"/>
      <c r="M24" s="58">
        <f>+'[18]20-21'!$AL$63</f>
        <v>74366</v>
      </c>
      <c r="N24" s="59">
        <v>0</v>
      </c>
      <c r="O24" s="59">
        <v>0</v>
      </c>
      <c r="P24" s="59">
        <v>0</v>
      </c>
      <c r="Q24" s="59">
        <v>0</v>
      </c>
      <c r="R24" s="59">
        <v>0</v>
      </c>
      <c r="S24" s="59">
        <v>0</v>
      </c>
      <c r="T24" s="59">
        <f>SUM(H24:S24)</f>
        <v>74366</v>
      </c>
      <c r="U24" s="42"/>
      <c r="V24" s="50"/>
      <c r="W24" s="50"/>
      <c r="X24" s="50"/>
      <c r="Y24" s="50"/>
      <c r="Z24" s="50"/>
      <c r="AA24" s="50"/>
    </row>
    <row r="25" spans="2:27" s="19" customFormat="1" ht="12.75" hidden="1" x14ac:dyDescent="0.2">
      <c r="B25" s="51"/>
      <c r="C25" s="7"/>
      <c r="D25" s="70" t="s">
        <v>29</v>
      </c>
      <c r="E25" s="56"/>
      <c r="F25" s="57"/>
      <c r="G25" s="58">
        <v>0</v>
      </c>
      <c r="H25" s="58"/>
      <c r="I25" s="59"/>
      <c r="J25" s="59"/>
      <c r="K25" s="59"/>
      <c r="L25" s="69"/>
      <c r="M25" s="58"/>
      <c r="N25" s="59"/>
      <c r="O25" s="59"/>
      <c r="P25" s="59"/>
      <c r="Q25" s="59">
        <v>0</v>
      </c>
      <c r="R25" s="59">
        <f>+'[12]20-21'!$BK$65</f>
        <v>0</v>
      </c>
      <c r="S25" s="59"/>
      <c r="T25" s="59">
        <f>SUM(H25:S25)</f>
        <v>0</v>
      </c>
      <c r="U25" s="42"/>
      <c r="V25" s="50"/>
      <c r="W25" s="50"/>
      <c r="X25" s="50"/>
      <c r="Y25" s="50"/>
      <c r="Z25" s="50"/>
      <c r="AA25" s="50"/>
    </row>
    <row r="26" spans="2:27" s="19" customFormat="1" ht="12.75" hidden="1" x14ac:dyDescent="0.2">
      <c r="B26" s="71"/>
      <c r="C26" s="39"/>
      <c r="D26" s="72" t="s">
        <v>30</v>
      </c>
      <c r="E26" s="56"/>
      <c r="F26" s="73"/>
      <c r="G26" s="58">
        <v>0</v>
      </c>
      <c r="H26" s="58">
        <v>0</v>
      </c>
      <c r="I26" s="59">
        <v>0</v>
      </c>
      <c r="J26" s="59">
        <v>0</v>
      </c>
      <c r="K26" s="59"/>
      <c r="M26" s="74">
        <f>SUM(M27:M29)</f>
        <v>6571667</v>
      </c>
      <c r="N26" s="74">
        <f t="shared" ref="N26:T26" si="6">SUM(N27:N29)</f>
        <v>0</v>
      </c>
      <c r="O26" s="74">
        <f t="shared" si="6"/>
        <v>0</v>
      </c>
      <c r="P26" s="74">
        <f t="shared" si="6"/>
        <v>-6571667</v>
      </c>
      <c r="Q26" s="74">
        <f t="shared" si="6"/>
        <v>0</v>
      </c>
      <c r="R26" s="74">
        <f t="shared" si="6"/>
        <v>0</v>
      </c>
      <c r="S26" s="74">
        <f t="shared" si="6"/>
        <v>0</v>
      </c>
      <c r="T26" s="74">
        <f t="shared" si="6"/>
        <v>0</v>
      </c>
      <c r="U26" s="42"/>
      <c r="V26" s="50"/>
      <c r="W26" s="50"/>
      <c r="X26" s="50"/>
      <c r="Y26" s="50"/>
      <c r="Z26" s="50"/>
      <c r="AA26" s="50"/>
    </row>
    <row r="27" spans="2:27" s="19" customFormat="1" ht="12.75" hidden="1" x14ac:dyDescent="0.2">
      <c r="B27" s="51"/>
      <c r="C27" s="7"/>
      <c r="D27" s="70" t="s">
        <v>29</v>
      </c>
      <c r="E27" s="56"/>
      <c r="F27" s="57"/>
      <c r="G27" s="58">
        <v>0</v>
      </c>
      <c r="H27" s="58"/>
      <c r="I27" s="59"/>
      <c r="J27" s="59"/>
      <c r="K27" s="59"/>
      <c r="M27" s="58">
        <f>+'[18]20-21'!$AL$65</f>
        <v>6571667</v>
      </c>
      <c r="N27" s="59">
        <v>0</v>
      </c>
      <c r="O27" s="59">
        <v>0</v>
      </c>
      <c r="P27" s="59">
        <f>+'[21]20-21'!$BA$65</f>
        <v>-6571667</v>
      </c>
      <c r="Q27" s="59">
        <v>0</v>
      </c>
      <c r="R27" s="59">
        <v>0</v>
      </c>
      <c r="S27" s="59"/>
      <c r="T27" s="59">
        <f>SUM(H27:S27)</f>
        <v>0</v>
      </c>
      <c r="U27" s="42"/>
      <c r="V27" s="50"/>
      <c r="W27" s="50"/>
      <c r="X27" s="50"/>
      <c r="Y27" s="50"/>
      <c r="Z27" s="50"/>
      <c r="AA27" s="50"/>
    </row>
    <row r="28" spans="2:27" s="19" customFormat="1" ht="12.75" hidden="1" x14ac:dyDescent="0.2">
      <c r="B28" s="51"/>
      <c r="C28" s="7"/>
      <c r="D28" s="70" t="str">
        <f>+'[25]19-20'!$A$61</f>
        <v>South African Express Airways</v>
      </c>
      <c r="E28" s="56"/>
      <c r="F28" s="57"/>
      <c r="G28" s="58">
        <v>0</v>
      </c>
      <c r="H28" s="58">
        <v>0</v>
      </c>
      <c r="I28" s="59">
        <v>0</v>
      </c>
      <c r="J28" s="59">
        <v>0</v>
      </c>
      <c r="K28" s="59"/>
      <c r="L28" s="59"/>
      <c r="M28" s="59">
        <v>0</v>
      </c>
      <c r="N28" s="59">
        <v>0</v>
      </c>
      <c r="O28" s="59">
        <v>0</v>
      </c>
      <c r="P28" s="59">
        <v>0</v>
      </c>
      <c r="Q28" s="59">
        <v>0</v>
      </c>
      <c r="R28" s="59">
        <v>0</v>
      </c>
      <c r="S28" s="59"/>
      <c r="T28" s="59">
        <f>SUM(H28:S28)</f>
        <v>0</v>
      </c>
      <c r="U28" s="42"/>
      <c r="V28" s="50"/>
      <c r="W28" s="50"/>
      <c r="X28" s="50"/>
      <c r="Y28" s="50"/>
      <c r="Z28" s="50"/>
      <c r="AA28" s="50"/>
    </row>
    <row r="29" spans="2:27" s="19" customFormat="1" ht="12.75" hidden="1" x14ac:dyDescent="0.2">
      <c r="B29" s="51"/>
      <c r="C29" s="7"/>
      <c r="D29" s="70" t="str">
        <f>+'[25]19-20'!$A$62</f>
        <v xml:space="preserve">Denel </v>
      </c>
      <c r="E29" s="56"/>
      <c r="F29" s="57"/>
      <c r="G29" s="58">
        <v>0</v>
      </c>
      <c r="H29" s="58">
        <v>0</v>
      </c>
      <c r="I29" s="59">
        <v>0</v>
      </c>
      <c r="J29" s="59">
        <v>0</v>
      </c>
      <c r="K29" s="59"/>
      <c r="L29" s="59"/>
      <c r="M29" s="59">
        <v>0</v>
      </c>
      <c r="N29" s="59">
        <v>0</v>
      </c>
      <c r="O29" s="59">
        <v>0</v>
      </c>
      <c r="P29" s="59">
        <v>0</v>
      </c>
      <c r="Q29" s="59">
        <v>0</v>
      </c>
      <c r="R29" s="59">
        <v>0</v>
      </c>
      <c r="S29" s="59"/>
      <c r="T29" s="59">
        <f>SUM(H29:S29)</f>
        <v>0</v>
      </c>
      <c r="U29" s="42"/>
      <c r="V29" s="50"/>
      <c r="W29" s="50"/>
      <c r="X29" s="50"/>
      <c r="Y29" s="50"/>
      <c r="Z29" s="50"/>
      <c r="AA29" s="50"/>
    </row>
    <row r="30" spans="2:27" s="19" customFormat="1" ht="12.75" hidden="1" x14ac:dyDescent="0.2">
      <c r="B30" s="51"/>
      <c r="C30" s="7"/>
      <c r="D30" s="70" t="s">
        <v>31</v>
      </c>
      <c r="E30" s="56"/>
      <c r="F30" s="57"/>
      <c r="G30" s="58">
        <v>0</v>
      </c>
      <c r="H30" s="58"/>
      <c r="I30" s="59"/>
      <c r="J30" s="59"/>
      <c r="K30" s="59"/>
      <c r="L30" s="59"/>
      <c r="M30" s="59">
        <v>0</v>
      </c>
      <c r="N30" s="59">
        <v>0</v>
      </c>
      <c r="O30" s="59">
        <v>0</v>
      </c>
      <c r="P30" s="59">
        <v>0</v>
      </c>
      <c r="Q30" s="59">
        <v>0</v>
      </c>
      <c r="R30" s="59">
        <v>0</v>
      </c>
      <c r="S30" s="59"/>
      <c r="T30" s="59">
        <v>0</v>
      </c>
      <c r="U30" s="42"/>
      <c r="V30" s="50"/>
      <c r="W30" s="50"/>
      <c r="X30" s="50"/>
      <c r="Y30" s="50"/>
      <c r="Z30" s="50"/>
      <c r="AA30" s="50"/>
    </row>
    <row r="31" spans="2:27" s="19" customFormat="1" ht="12.75" x14ac:dyDescent="0.2">
      <c r="B31" s="51"/>
      <c r="C31" s="7"/>
      <c r="D31" s="56" t="s">
        <v>32</v>
      </c>
      <c r="E31" s="56"/>
      <c r="F31" s="20"/>
      <c r="G31" s="58">
        <f>+'[21]20-21'!$I$66</f>
        <v>10174611</v>
      </c>
      <c r="H31" s="58">
        <f>+'[13]20-21'!$N$60</f>
        <v>1745798</v>
      </c>
      <c r="I31" s="59">
        <f>+'[14]20-21'!$S$60</f>
        <v>1447692</v>
      </c>
      <c r="J31" s="59">
        <f>+'[15]20-21'!$X$60</f>
        <v>1118322</v>
      </c>
      <c r="K31" s="59">
        <f>+'[16]20-21'!$AC$60</f>
        <v>54518</v>
      </c>
      <c r="L31" s="59">
        <f>+'[17]20-21'!$AH$60</f>
        <v>92107</v>
      </c>
      <c r="M31" s="59">
        <f>+'[18]20-21'!$AM$66</f>
        <v>75474</v>
      </c>
      <c r="N31" s="59">
        <f>+'[19]20-21'!$AR$66</f>
        <v>169312</v>
      </c>
      <c r="O31" s="59">
        <f>+'[20]20-21'!$AW$66</f>
        <v>1460680</v>
      </c>
      <c r="P31" s="59">
        <f>+'[21]20-21'!$BB$66</f>
        <v>1486244</v>
      </c>
      <c r="Q31" s="59">
        <f>+'[22]20-21'!$BG$66</f>
        <v>1665558</v>
      </c>
      <c r="R31" s="59">
        <f>+'[12]20-21'!$BL$66</f>
        <v>1635698</v>
      </c>
      <c r="S31" s="59">
        <f>+'[23]20-21'!$BQ$66</f>
        <v>1461571</v>
      </c>
      <c r="T31" s="59">
        <f>SUM(H31:S31)</f>
        <v>12412974</v>
      </c>
      <c r="U31" s="42"/>
      <c r="V31" s="50"/>
      <c r="W31" s="50"/>
      <c r="X31" s="50"/>
      <c r="Y31" s="50"/>
      <c r="Z31" s="50"/>
      <c r="AA31" s="50"/>
    </row>
    <row r="32" spans="2:27" s="19" customFormat="1" ht="12.75" x14ac:dyDescent="0.2">
      <c r="B32" s="51"/>
      <c r="C32" s="7"/>
      <c r="D32" s="56" t="s">
        <v>33</v>
      </c>
      <c r="E32" s="56"/>
      <c r="F32" s="20"/>
      <c r="G32" s="58">
        <f>+'[21]20-21'!$I$51+'[21]20-21'!$I$52+'[21]20-21'!$I$58+'[21]20-21'!$I$59+'[21]20-21'!$I$67+'[21]20-21'!$I$68+'[21]20-21'!$I$69</f>
        <v>4353192</v>
      </c>
      <c r="H32" s="58">
        <f>+'[13]20-21'!$N$51+'[13]20-21'!$N$52+'[13]20-21'!$N$58+'[13]20-21'!$N$59+'[13]20-21'!$N$61+'[13]20-21'!$N$62+'[13]20-21'!$N$63</f>
        <v>312012</v>
      </c>
      <c r="I32" s="59">
        <f>+'[14]20-21'!$S$51+'[14]20-21'!$S$52+'[14]20-21'!$S$58+'[14]20-21'!$S$59+'[14]20-21'!$S$61+'[14]20-21'!$S$62+'[14]20-21'!$S$63</f>
        <v>412871</v>
      </c>
      <c r="J32" s="59">
        <f>+'[15]20-21'!$X$51+'[15]20-21'!$X$52+'[15]20-21'!$X$58+'[15]20-21'!$X$59+'[15]20-21'!$X$61+'[15]20-21'!$X$62+'[15]20-21'!$X$63</f>
        <v>359717</v>
      </c>
      <c r="K32" s="59">
        <f>+'[16]20-21'!$AC$51+'[16]20-21'!$AC$52+'[16]20-21'!$AC$57+'[16]20-21'!$AC$58+'[16]20-21'!$AC$61+'[16]20-21'!$AC$62+'[16]20-21'!$AC$63+'[16]20-21'!$AC$59</f>
        <v>299667</v>
      </c>
      <c r="L32" s="59">
        <f>+'[17]20-21'!$AH$51+'[17]20-21'!$AH$52+'[17]20-21'!$AH$58+'[17]20-21'!$AH$59+'[17]20-21'!$AH$61+'[17]20-21'!$AH$62+'[17]20-21'!$AH$63</f>
        <v>315189</v>
      </c>
      <c r="M32" s="59">
        <f>+'[18]20-21'!$AM$51+'[18]20-21'!$AM$52+'[18]20-21'!$AM$58+'[18]20-21'!$AM$59+'[18]20-21'!$AM$67+'[18]20-21'!$AM$68</f>
        <v>405863</v>
      </c>
      <c r="N32" s="59">
        <f>+'[26]20-21'!$AR$51+'[26]20-21'!$AR$52+'[26]20-21'!$AR$58+'[26]20-21'!$AR$67+'[26]20-21'!$AR$68</f>
        <v>301581</v>
      </c>
      <c r="O32" s="59">
        <f>+'[20]20-21'!$AW$51+'[20]20-21'!$AW$52+'[20]20-21'!$AW$67+'[20]20-21'!$AW$68+'[20]20-21'!$AW$69</f>
        <v>308149</v>
      </c>
      <c r="P32" s="59">
        <f>+'[21]20-21'!$BB$51+'[21]20-21'!$BB$52+'[21]20-21'!$BB$67+'[21]20-21'!$BB$68+'[21]20-21'!$BB$58</f>
        <v>309346</v>
      </c>
      <c r="Q32" s="59">
        <f>+'[22]20-21'!$BG$51+'[22]20-21'!$BG$52+'[22]20-21'!$BG$67+'[22]20-21'!$BG$68+'[22]20-21'!$BG$69+'[22]20-21'!$BG$58</f>
        <v>295451</v>
      </c>
      <c r="R32" s="59">
        <f>+'[12]20-21'!$BL$51+'[12]20-21'!$BL$52+'[12]20-21'!$BL$58+'[12]20-21'!$BL$67+'[12]20-21'!$BL$68+'[12]20-21'!$BL$69+'[12]20-21'!$BL$59</f>
        <v>753319</v>
      </c>
      <c r="S32" s="59">
        <f>+'[23]20-21'!$BQ$51+'[23]20-21'!$BQ$52+'[23]20-21'!$BQ$67+'[23]20-21'!$BQ$68+'[23]20-21'!$BQ$69+'[23]20-21'!$BQ$58</f>
        <v>308336</v>
      </c>
      <c r="T32" s="59">
        <f>SUM(H32:S32)</f>
        <v>4381501</v>
      </c>
      <c r="U32" s="42"/>
      <c r="V32" s="50"/>
      <c r="W32" s="50"/>
      <c r="X32" s="50"/>
      <c r="Y32" s="50"/>
      <c r="Z32" s="50"/>
      <c r="AA32" s="50"/>
    </row>
    <row r="33" spans="2:29" s="24" customFormat="1" ht="12.75" x14ac:dyDescent="0.2">
      <c r="B33" s="51"/>
      <c r="C33" s="75"/>
      <c r="D33" s="7"/>
      <c r="E33" s="7"/>
      <c r="F33" s="20"/>
      <c r="G33" s="74"/>
      <c r="H33" s="74"/>
      <c r="I33" s="76"/>
      <c r="J33" s="76"/>
      <c r="K33" s="76"/>
      <c r="L33" s="76"/>
      <c r="M33" s="76"/>
      <c r="N33" s="76"/>
      <c r="O33" s="76"/>
      <c r="P33" s="41"/>
      <c r="Q33" s="41"/>
      <c r="R33" s="41"/>
      <c r="S33" s="41"/>
      <c r="T33" s="76"/>
      <c r="U33" s="77"/>
      <c r="V33" s="44"/>
      <c r="W33" s="44"/>
      <c r="X33" s="44"/>
      <c r="Y33" s="44"/>
      <c r="Z33" s="44"/>
      <c r="AA33" s="44"/>
    </row>
    <row r="34" spans="2:29" s="24" customFormat="1" ht="12.75" x14ac:dyDescent="0.2">
      <c r="B34" s="51"/>
      <c r="C34" s="75" t="s">
        <v>34</v>
      </c>
      <c r="D34" s="7"/>
      <c r="E34" s="7"/>
      <c r="F34" s="20"/>
      <c r="G34" s="74">
        <f>+'[12]20-21'!$I$73</f>
        <v>-3692917</v>
      </c>
      <c r="H34" s="74">
        <v>0</v>
      </c>
      <c r="I34" s="76">
        <v>0</v>
      </c>
      <c r="J34" s="76">
        <v>0</v>
      </c>
      <c r="K34" s="76">
        <v>0</v>
      </c>
      <c r="L34" s="76">
        <v>0</v>
      </c>
      <c r="M34" s="76">
        <v>0</v>
      </c>
      <c r="N34" s="76">
        <v>0</v>
      </c>
      <c r="O34" s="76">
        <v>0</v>
      </c>
      <c r="P34" s="41">
        <v>0</v>
      </c>
      <c r="Q34" s="76">
        <v>0</v>
      </c>
      <c r="R34" s="76">
        <v>0</v>
      </c>
      <c r="S34" s="76">
        <v>0</v>
      </c>
      <c r="T34" s="76">
        <v>0</v>
      </c>
      <c r="U34" s="77"/>
      <c r="V34" s="44"/>
      <c r="W34" s="44"/>
      <c r="X34" s="44"/>
      <c r="Y34" s="44"/>
      <c r="Z34" s="44"/>
      <c r="AA34" s="44"/>
    </row>
    <row r="35" spans="2:29" s="24" customFormat="1" ht="12.75" x14ac:dyDescent="0.2">
      <c r="B35" s="51"/>
      <c r="C35" s="75"/>
      <c r="D35" s="7"/>
      <c r="E35" s="7"/>
      <c r="F35" s="20"/>
      <c r="G35" s="74"/>
      <c r="H35" s="74"/>
      <c r="I35" s="41"/>
      <c r="J35" s="41"/>
      <c r="K35" s="76"/>
      <c r="L35" s="76"/>
      <c r="M35" s="41"/>
      <c r="N35" s="76"/>
      <c r="O35" s="41"/>
      <c r="P35" s="41"/>
      <c r="Q35" s="41"/>
      <c r="R35" s="41"/>
      <c r="S35" s="41"/>
      <c r="T35" s="76"/>
      <c r="U35" s="77"/>
      <c r="V35" s="44"/>
      <c r="W35" s="44"/>
      <c r="X35" s="44"/>
      <c r="Y35" s="44"/>
      <c r="Z35" s="44"/>
      <c r="AA35" s="44"/>
    </row>
    <row r="36" spans="2:29" s="19" customFormat="1" ht="12.75" x14ac:dyDescent="0.2">
      <c r="B36" s="16" t="s">
        <v>35</v>
      </c>
      <c r="C36" s="7"/>
      <c r="D36" s="7"/>
      <c r="E36" s="7"/>
      <c r="F36" s="20"/>
      <c r="G36" s="78">
        <f t="shared" ref="G36:P36" si="7">+G9-G11</f>
        <v>-603388420.00234699</v>
      </c>
      <c r="H36" s="78">
        <f t="shared" si="7"/>
        <v>-51156457.046230003</v>
      </c>
      <c r="I36" s="78">
        <f t="shared" si="7"/>
        <v>-52369080.107569978</v>
      </c>
      <c r="J36" s="78">
        <f t="shared" si="7"/>
        <v>-22296182.623359978</v>
      </c>
      <c r="K36" s="78">
        <f t="shared" si="7"/>
        <v>-134529648.03983</v>
      </c>
      <c r="L36" s="78">
        <f t="shared" si="7"/>
        <v>-63673793.456500009</v>
      </c>
      <c r="M36" s="78">
        <f>+M9-M11</f>
        <v>-42866801.970830038</v>
      </c>
      <c r="N36" s="78">
        <f t="shared" si="7"/>
        <v>-49729127.847139999</v>
      </c>
      <c r="O36" s="78">
        <f t="shared" si="7"/>
        <v>-21403285.226410002</v>
      </c>
      <c r="P36" s="78">
        <f t="shared" si="7"/>
        <v>5051318.7694999874</v>
      </c>
      <c r="Q36" s="78">
        <f>+Q9-Q11-1</f>
        <v>-76182751.522060007</v>
      </c>
      <c r="R36" s="78">
        <f>+R9-R11</f>
        <v>-12883148.047260031</v>
      </c>
      <c r="S36" s="78">
        <f>+S9-S11</f>
        <v>-29818752.623150021</v>
      </c>
      <c r="T36" s="79">
        <f>+T9-T11+1</f>
        <v>-551857708.74084044</v>
      </c>
      <c r="U36" s="42"/>
      <c r="V36" s="44"/>
      <c r="W36" s="44"/>
      <c r="X36" s="44"/>
      <c r="Y36" s="44"/>
      <c r="Z36" s="44"/>
      <c r="AA36" s="44"/>
      <c r="AB36" s="50"/>
      <c r="AC36" s="50"/>
    </row>
    <row r="37" spans="2:29" s="19" customFormat="1" ht="12.75" x14ac:dyDescent="0.2">
      <c r="B37" s="18"/>
      <c r="C37" s="39"/>
      <c r="D37" s="39"/>
      <c r="E37" s="39"/>
      <c r="F37" s="20"/>
      <c r="G37" s="80"/>
      <c r="H37" s="80"/>
      <c r="I37" s="81"/>
      <c r="J37" s="81"/>
      <c r="K37" s="81"/>
      <c r="L37" s="81"/>
      <c r="M37" s="81"/>
      <c r="N37" s="81"/>
      <c r="O37" s="81"/>
      <c r="P37" s="81"/>
      <c r="Q37" s="81"/>
      <c r="R37" s="81"/>
      <c r="S37" s="81"/>
      <c r="T37" s="81"/>
      <c r="U37" s="42"/>
      <c r="V37" s="50"/>
      <c r="W37" s="50"/>
      <c r="X37" s="50"/>
      <c r="Y37" s="50"/>
      <c r="Z37" s="50"/>
      <c r="AA37" s="50"/>
    </row>
    <row r="38" spans="2:29" s="19" customFormat="1" ht="12.75" x14ac:dyDescent="0.2">
      <c r="B38" s="16"/>
      <c r="C38" s="7"/>
      <c r="D38" s="39"/>
      <c r="E38" s="39"/>
      <c r="F38" s="57"/>
      <c r="G38" s="82"/>
      <c r="H38" s="82"/>
      <c r="I38" s="83"/>
      <c r="J38" s="83"/>
      <c r="K38" s="83"/>
      <c r="L38" s="83"/>
      <c r="M38" s="83"/>
      <c r="N38" s="83"/>
      <c r="O38" s="83"/>
      <c r="P38" s="83"/>
      <c r="Q38" s="83"/>
      <c r="R38" s="83"/>
      <c r="S38" s="83"/>
      <c r="T38" s="83"/>
      <c r="U38" s="42"/>
      <c r="V38" s="50"/>
      <c r="W38" s="50"/>
      <c r="X38" s="50"/>
      <c r="Y38" s="50"/>
      <c r="Z38" s="50"/>
      <c r="AA38" s="50"/>
    </row>
    <row r="39" spans="2:29" s="19" customFormat="1" ht="12.75" x14ac:dyDescent="0.2">
      <c r="B39" s="16" t="s">
        <v>36</v>
      </c>
      <c r="C39" s="7"/>
      <c r="D39" s="39"/>
      <c r="E39" s="39"/>
      <c r="F39" s="57"/>
      <c r="G39" s="84"/>
      <c r="H39" s="84"/>
      <c r="I39" s="85"/>
      <c r="J39" s="85"/>
      <c r="K39" s="85"/>
      <c r="L39" s="85"/>
      <c r="M39" s="85"/>
      <c r="N39" s="85"/>
      <c r="O39" s="85"/>
      <c r="P39" s="85"/>
      <c r="Q39" s="85"/>
      <c r="R39" s="85"/>
      <c r="S39" s="85"/>
      <c r="T39" s="85"/>
      <c r="U39" s="42"/>
      <c r="V39" s="50"/>
      <c r="W39" s="50"/>
      <c r="X39" s="50"/>
      <c r="Y39" s="50"/>
      <c r="Z39" s="50"/>
      <c r="AA39" s="50"/>
    </row>
    <row r="40" spans="2:29" s="19" customFormat="1" ht="12.75" x14ac:dyDescent="0.2">
      <c r="B40" s="16"/>
      <c r="C40" s="7"/>
      <c r="D40" s="39"/>
      <c r="E40" s="39"/>
      <c r="F40" s="57"/>
      <c r="G40" s="84"/>
      <c r="H40" s="84"/>
      <c r="I40" s="85"/>
      <c r="J40" s="85"/>
      <c r="K40" s="85"/>
      <c r="L40" s="85"/>
      <c r="M40" s="85"/>
      <c r="N40" s="85"/>
      <c r="O40" s="85"/>
      <c r="P40" s="85"/>
      <c r="Q40" s="85"/>
      <c r="R40" s="85"/>
      <c r="S40" s="85"/>
      <c r="T40" s="85"/>
      <c r="U40" s="42"/>
      <c r="V40" s="50"/>
      <c r="W40" s="50"/>
      <c r="X40" s="50"/>
      <c r="Y40" s="50"/>
      <c r="Z40" s="50"/>
      <c r="AA40" s="50"/>
    </row>
    <row r="41" spans="2:29" s="19" customFormat="1" ht="12.75" x14ac:dyDescent="0.2">
      <c r="B41" s="16" t="s">
        <v>37</v>
      </c>
      <c r="C41" s="86"/>
      <c r="D41" s="39"/>
      <c r="E41" s="87"/>
      <c r="F41" s="20">
        <v>3</v>
      </c>
      <c r="G41" s="52">
        <f>+[27]summary!$H$13</f>
        <v>97183520</v>
      </c>
      <c r="H41" s="52">
        <f>+[28]summary!$M$13</f>
        <v>37582688</v>
      </c>
      <c r="I41" s="41">
        <f>+[29]summary!$R$13</f>
        <v>16125619</v>
      </c>
      <c r="J41" s="41">
        <f>+[30]summary!$W$13</f>
        <v>11567828</v>
      </c>
      <c r="K41" s="41">
        <f>+[31]summary!$AB$13</f>
        <v>26289577</v>
      </c>
      <c r="L41" s="41">
        <f>+[32]summary!$AG$13</f>
        <v>-5974831</v>
      </c>
      <c r="M41" s="41">
        <f>+[33]summary!$AL$13</f>
        <v>1315362</v>
      </c>
      <c r="N41" s="41">
        <f>+[34]summary!$AQ$13</f>
        <v>31098565</v>
      </c>
      <c r="O41" s="41">
        <f>+[35]summary!$AV$13</f>
        <v>295423</v>
      </c>
      <c r="P41" s="41">
        <f>+[36]summary!$BA$13</f>
        <v>-33015782</v>
      </c>
      <c r="Q41" s="41">
        <f>+[37]summary!$BF$13</f>
        <v>15701292</v>
      </c>
      <c r="R41" s="41">
        <f>+[27]summary!$BK$13</f>
        <v>-13560314</v>
      </c>
      <c r="S41" s="41">
        <f>+[38]summary!$BP$13</f>
        <v>7899997</v>
      </c>
      <c r="T41" s="40">
        <f>SUM(H41:S41)</f>
        <v>95325424</v>
      </c>
      <c r="U41" s="42"/>
      <c r="V41" s="50"/>
      <c r="W41" s="50"/>
      <c r="X41" s="50"/>
      <c r="Y41" s="50"/>
      <c r="Z41" s="50"/>
      <c r="AA41" s="50"/>
    </row>
    <row r="42" spans="2:29" s="19" customFormat="1" ht="12.75" x14ac:dyDescent="0.2">
      <c r="B42" s="16"/>
      <c r="C42" s="86"/>
      <c r="D42" s="39"/>
      <c r="E42" s="39"/>
      <c r="F42" s="20"/>
      <c r="G42" s="52"/>
      <c r="H42" s="52"/>
      <c r="I42" s="41"/>
      <c r="J42" s="41"/>
      <c r="K42" s="41"/>
      <c r="L42" s="41"/>
      <c r="M42" s="41"/>
      <c r="N42" s="41"/>
      <c r="O42" s="41"/>
      <c r="P42" s="41"/>
      <c r="Q42" s="41"/>
      <c r="R42" s="41"/>
      <c r="S42" s="41"/>
      <c r="T42" s="41"/>
      <c r="U42" s="42"/>
      <c r="V42" s="50"/>
      <c r="W42" s="50"/>
      <c r="X42" s="50"/>
      <c r="Y42" s="50"/>
      <c r="Z42" s="50"/>
      <c r="AA42" s="50"/>
    </row>
    <row r="43" spans="2:29" s="19" customFormat="1" ht="12.75" x14ac:dyDescent="0.2">
      <c r="B43" s="16" t="s">
        <v>38</v>
      </c>
      <c r="C43" s="86"/>
      <c r="D43" s="39"/>
      <c r="E43" s="39"/>
      <c r="F43" s="20">
        <v>3</v>
      </c>
      <c r="G43" s="52">
        <f>+[27]summary!$H$23</f>
        <v>465992000</v>
      </c>
      <c r="H43" s="52">
        <f>+[28]summary!$M$23</f>
        <v>32850713</v>
      </c>
      <c r="I43" s="41">
        <f>+[29]summary!$R$23</f>
        <v>40638036.743999995</v>
      </c>
      <c r="J43" s="41">
        <f>+[30]summary!$W$23</f>
        <v>43402900</v>
      </c>
      <c r="K43" s="41">
        <f>+[31]summary!$AB$23</f>
        <v>60600922</v>
      </c>
      <c r="L43" s="41">
        <f>+[32]summary!$AG$23</f>
        <v>37229982</v>
      </c>
      <c r="M43" s="41">
        <f>+[33]summary!$AL$23</f>
        <v>50427153</v>
      </c>
      <c r="N43" s="41">
        <f>+[34]summary!$AQ$23</f>
        <v>50571945</v>
      </c>
      <c r="O43" s="41">
        <f>+[35]summary!$AV$23</f>
        <v>39211461</v>
      </c>
      <c r="P43" s="41">
        <f>+[36]summary!$BA$23</f>
        <v>45711722</v>
      </c>
      <c r="Q43" s="41">
        <f>+[37]summary!$BF$23</f>
        <v>34673258</v>
      </c>
      <c r="R43" s="41">
        <f>+[27]summary!$BK$23</f>
        <v>42446719</v>
      </c>
      <c r="S43" s="41">
        <f>+[38]summary!$BP$23</f>
        <v>-7569549</v>
      </c>
      <c r="T43" s="40">
        <f>SUM(H43:S43)</f>
        <v>470195262.74399996</v>
      </c>
      <c r="U43" s="42"/>
      <c r="V43" s="50"/>
      <c r="W43" s="50"/>
      <c r="X43" s="50"/>
      <c r="Y43" s="50"/>
      <c r="Z43" s="50"/>
      <c r="AA43" s="50"/>
    </row>
    <row r="44" spans="2:29" s="19" customFormat="1" ht="12.75" x14ac:dyDescent="0.2">
      <c r="B44" s="18"/>
      <c r="C44" s="39"/>
      <c r="D44" s="39"/>
      <c r="E44" s="39"/>
      <c r="F44" s="20"/>
      <c r="G44" s="46"/>
      <c r="H44" s="46"/>
      <c r="I44" s="49"/>
      <c r="J44" s="49"/>
      <c r="K44" s="49"/>
      <c r="L44" s="49"/>
      <c r="M44" s="49"/>
      <c r="N44" s="49"/>
      <c r="O44" s="49"/>
      <c r="P44" s="49"/>
      <c r="Q44" s="49"/>
      <c r="R44" s="49"/>
      <c r="S44" s="49"/>
      <c r="T44" s="49"/>
      <c r="U44" s="42"/>
      <c r="V44" s="50"/>
      <c r="W44" s="50"/>
      <c r="X44" s="50"/>
      <c r="Y44" s="50"/>
      <c r="Z44" s="50"/>
      <c r="AA44" s="50"/>
    </row>
    <row r="45" spans="2:29" s="19" customFormat="1" ht="12.75" x14ac:dyDescent="0.2">
      <c r="B45" s="16" t="s">
        <v>39</v>
      </c>
      <c r="C45" s="86"/>
      <c r="D45" s="39"/>
      <c r="E45" s="39"/>
      <c r="F45" s="20">
        <v>3</v>
      </c>
      <c r="G45" s="35">
        <f>+[27]summary!$H$44</f>
        <v>92653000</v>
      </c>
      <c r="H45" s="35">
        <f>+[28]summary!$M$45</f>
        <v>-777665</v>
      </c>
      <c r="I45" s="40">
        <f>+[29]summary!$R$45</f>
        <v>-4931986</v>
      </c>
      <c r="J45" s="40">
        <f>+[30]summary!$W$44</f>
        <v>-8699700</v>
      </c>
      <c r="K45" s="40">
        <f>+[31]summary!$AB$44</f>
        <v>86911584</v>
      </c>
      <c r="L45" s="40">
        <f>+[32]summary!$AG$44</f>
        <v>0</v>
      </c>
      <c r="M45" s="40">
        <f>+[33]summary!$AL$44</f>
        <v>0</v>
      </c>
      <c r="N45" s="40">
        <f>+[34]summary!$AQ$44</f>
        <v>5008164</v>
      </c>
      <c r="O45" s="40">
        <f>+[35]summary!$AV$44</f>
        <v>-6967</v>
      </c>
      <c r="P45" s="40">
        <f>+[36]summary!$BA$44</f>
        <v>0</v>
      </c>
      <c r="Q45" s="40">
        <f>+[37]summary!$BF$44</f>
        <v>0</v>
      </c>
      <c r="R45" s="40">
        <f>+[27]summary!$BK$44</f>
        <v>0</v>
      </c>
      <c r="S45" s="40">
        <f>+[38]summary!$BP$44</f>
        <v>0</v>
      </c>
      <c r="T45" s="40">
        <f>SUM(H45:S45)</f>
        <v>77503430</v>
      </c>
      <c r="U45" s="88"/>
      <c r="V45" s="50"/>
      <c r="W45" s="50"/>
      <c r="X45" s="50"/>
      <c r="Y45" s="50"/>
      <c r="Z45" s="50"/>
      <c r="AA45" s="50"/>
    </row>
    <row r="46" spans="2:29" s="19" customFormat="1" ht="12.75" x14ac:dyDescent="0.2">
      <c r="B46" s="16"/>
      <c r="C46" s="86"/>
      <c r="D46" s="39"/>
      <c r="E46" s="39"/>
      <c r="F46" s="45"/>
      <c r="G46" s="46"/>
      <c r="H46" s="46"/>
      <c r="I46" s="49"/>
      <c r="J46" s="49"/>
      <c r="K46" s="49"/>
      <c r="L46" s="49"/>
      <c r="M46" s="49"/>
      <c r="N46" s="49"/>
      <c r="O46" s="49"/>
      <c r="P46" s="49"/>
      <c r="Q46" s="49"/>
      <c r="R46" s="49"/>
      <c r="S46" s="49"/>
      <c r="T46" s="49"/>
      <c r="U46" s="88"/>
      <c r="V46" s="50"/>
      <c r="W46" s="50"/>
      <c r="X46" s="50"/>
      <c r="Y46" s="50"/>
      <c r="Z46" s="50"/>
      <c r="AA46" s="50"/>
    </row>
    <row r="47" spans="2:29" s="19" customFormat="1" ht="12.75" x14ac:dyDescent="0.2">
      <c r="B47" s="16" t="s">
        <v>40</v>
      </c>
      <c r="C47" s="86"/>
      <c r="D47" s="39"/>
      <c r="E47" s="39"/>
      <c r="F47" s="20">
        <v>3</v>
      </c>
      <c r="G47" s="35">
        <f>+[27]summary!$H$67</f>
        <v>-52440099.997653</v>
      </c>
      <c r="H47" s="35">
        <f>+[28]summary!$M$68</f>
        <v>-18499278.953769997</v>
      </c>
      <c r="I47" s="40">
        <f>+[29]summary!$R$67</f>
        <v>537410.36356998235</v>
      </c>
      <c r="J47" s="40">
        <f>+[30]summary!$W$67</f>
        <v>-23974845.376640022</v>
      </c>
      <c r="K47" s="40">
        <f>+[31]summary!$AB$67</f>
        <v>-39272434.960170001</v>
      </c>
      <c r="L47" s="40">
        <f>+[32]summary!$AG$67</f>
        <v>32418642.456500009</v>
      </c>
      <c r="M47" s="40">
        <f>+[33]summary!$AL$67</f>
        <v>-8875713.0291699618</v>
      </c>
      <c r="N47" s="40">
        <f>+[34]summary!$AQ$67</f>
        <v>-36949546.152860001</v>
      </c>
      <c r="O47" s="40">
        <f>+[35]summary!$AV$67</f>
        <v>-18096631.773589998</v>
      </c>
      <c r="P47" s="40">
        <f>+[36]summary!$BA$67</f>
        <v>-17747258.769499987</v>
      </c>
      <c r="Q47" s="40">
        <f>+[39]summary!$BF$67</f>
        <v>25860728.776310012</v>
      </c>
      <c r="R47" s="40">
        <f>+[39]summary!$BK$67</f>
        <v>-16055785.20701997</v>
      </c>
      <c r="S47" s="40">
        <f>+[38]summary!$BP$67</f>
        <v>29488304.623150021</v>
      </c>
      <c r="T47" s="40">
        <f>SUM(H47:S47)</f>
        <v>-91166408.003189906</v>
      </c>
      <c r="U47" s="88"/>
      <c r="V47" s="50"/>
      <c r="W47" s="50"/>
      <c r="X47" s="50"/>
      <c r="Y47" s="50"/>
      <c r="Z47" s="50"/>
      <c r="AA47" s="50"/>
    </row>
    <row r="48" spans="2:29" s="19" customFormat="1" ht="12.75" x14ac:dyDescent="0.2">
      <c r="B48" s="16"/>
      <c r="C48" s="86"/>
      <c r="D48" s="39"/>
      <c r="E48" s="39"/>
      <c r="F48" s="20"/>
      <c r="G48" s="89"/>
      <c r="H48" s="89"/>
      <c r="I48" s="90"/>
      <c r="J48" s="90"/>
      <c r="K48" s="90"/>
      <c r="L48" s="90"/>
      <c r="M48" s="90"/>
      <c r="N48" s="90"/>
      <c r="O48" s="90"/>
      <c r="P48" s="90"/>
      <c r="Q48" s="90"/>
      <c r="R48" s="90"/>
      <c r="S48" s="90"/>
      <c r="T48" s="90"/>
      <c r="U48" s="88"/>
      <c r="V48" s="50"/>
      <c r="W48" s="50"/>
      <c r="X48" s="50"/>
      <c r="Y48" s="50"/>
      <c r="Z48" s="50"/>
      <c r="AA48" s="50"/>
    </row>
    <row r="49" spans="2:27" s="19" customFormat="1" ht="13.8" x14ac:dyDescent="0.3">
      <c r="B49" s="16" t="s">
        <v>41</v>
      </c>
      <c r="C49" s="7"/>
      <c r="D49" s="7"/>
      <c r="E49" s="7"/>
      <c r="F49" s="45"/>
      <c r="G49" s="91">
        <f>+G41+G43+G45+G47</f>
        <v>603388420.00234699</v>
      </c>
      <c r="H49" s="91">
        <f t="shared" ref="H49:S49" si="8">+H41+H43+H45+H47</f>
        <v>51156457.046230003</v>
      </c>
      <c r="I49" s="91">
        <f t="shared" si="8"/>
        <v>52369080.107569978</v>
      </c>
      <c r="J49" s="91">
        <f>+J41+J43+J45+J47</f>
        <v>22296182.623359978</v>
      </c>
      <c r="K49" s="91">
        <f t="shared" si="8"/>
        <v>134529648.03983</v>
      </c>
      <c r="L49" s="91">
        <f>+L41+L43+L45+L47</f>
        <v>63673793.456500009</v>
      </c>
      <c r="M49" s="91">
        <f>+M41+M43+M45+M47</f>
        <v>42866801.970830038</v>
      </c>
      <c r="N49" s="91">
        <f t="shared" si="8"/>
        <v>49729127.847139999</v>
      </c>
      <c r="O49" s="91">
        <f t="shared" si="8"/>
        <v>21403285.226410002</v>
      </c>
      <c r="P49" s="79">
        <f t="shared" si="8"/>
        <v>-5051318.7694999874</v>
      </c>
      <c r="Q49" s="91">
        <f t="shared" si="8"/>
        <v>76235278.776310012</v>
      </c>
      <c r="R49" s="91">
        <f t="shared" si="8"/>
        <v>12830619.79298003</v>
      </c>
      <c r="S49" s="91">
        <f t="shared" si="8"/>
        <v>29818752.623150021</v>
      </c>
      <c r="T49" s="92">
        <f>+T41+T43+T45+T47</f>
        <v>551857708.74081004</v>
      </c>
      <c r="U49" s="88"/>
      <c r="V49" s="50"/>
      <c r="W49" s="50"/>
      <c r="X49" s="50"/>
      <c r="Y49" s="50"/>
      <c r="Z49" s="50"/>
      <c r="AA49" s="50"/>
    </row>
    <row r="50" spans="2:27" s="19" customFormat="1" ht="13.8" x14ac:dyDescent="0.3">
      <c r="B50" s="94"/>
      <c r="C50" s="95"/>
      <c r="D50" s="95"/>
      <c r="E50" s="95"/>
      <c r="F50" s="96"/>
      <c r="G50" s="97"/>
      <c r="H50" s="97"/>
      <c r="I50" s="98"/>
      <c r="J50" s="98"/>
      <c r="K50" s="98"/>
      <c r="L50" s="98"/>
      <c r="M50" s="98"/>
      <c r="N50" s="98"/>
      <c r="O50" s="98"/>
      <c r="P50" s="98"/>
      <c r="Q50" s="98"/>
      <c r="R50" s="98"/>
      <c r="S50" s="98"/>
      <c r="T50" s="98"/>
      <c r="U50" s="42"/>
      <c r="V50" s="50"/>
      <c r="W50" s="50"/>
      <c r="X50" s="50"/>
      <c r="Y50" s="50"/>
      <c r="Z50" s="50"/>
      <c r="AA50" s="50"/>
    </row>
    <row r="51" spans="2:27" s="19" customFormat="1" ht="13.8" x14ac:dyDescent="0.3">
      <c r="B51" s="99" t="s">
        <v>42</v>
      </c>
      <c r="C51" s="39"/>
      <c r="D51" s="39"/>
      <c r="E51" s="39"/>
      <c r="F51" s="100"/>
      <c r="G51" s="101"/>
      <c r="H51" s="101"/>
      <c r="I51" s="101"/>
      <c r="J51" s="101"/>
      <c r="K51" s="101"/>
      <c r="L51" s="101"/>
      <c r="M51" s="101"/>
      <c r="N51" s="101"/>
      <c r="O51" s="101"/>
      <c r="P51" s="101"/>
      <c r="Q51" s="101"/>
      <c r="R51" s="101"/>
      <c r="S51" s="101"/>
      <c r="T51" s="101"/>
      <c r="U51" s="55"/>
      <c r="V51" s="50"/>
      <c r="W51" s="50"/>
      <c r="X51" s="50"/>
      <c r="Y51" s="50"/>
      <c r="Z51" s="50"/>
      <c r="AA51" s="50"/>
    </row>
    <row r="52" spans="2:27" s="99" customFormat="1" ht="13.5" hidden="1" x14ac:dyDescent="0.25">
      <c r="B52" s="99" t="s">
        <v>43</v>
      </c>
    </row>
    <row r="54" spans="2:27" ht="13.5" hidden="1" x14ac:dyDescent="0.25">
      <c r="G54" s="102">
        <f t="shared" ref="G54:T54" si="9">+G36+G49</f>
        <v>0</v>
      </c>
      <c r="H54" s="102">
        <f t="shared" si="9"/>
        <v>0</v>
      </c>
      <c r="I54" s="102">
        <f t="shared" si="9"/>
        <v>0</v>
      </c>
      <c r="J54" s="102">
        <f t="shared" si="9"/>
        <v>0</v>
      </c>
      <c r="K54" s="102">
        <f t="shared" si="9"/>
        <v>0</v>
      </c>
      <c r="L54" s="102">
        <f t="shared" si="9"/>
        <v>0</v>
      </c>
      <c r="M54" s="102">
        <f t="shared" si="9"/>
        <v>0</v>
      </c>
      <c r="N54" s="102">
        <f t="shared" si="9"/>
        <v>0</v>
      </c>
      <c r="O54" s="102">
        <f t="shared" si="9"/>
        <v>0</v>
      </c>
      <c r="P54" s="102">
        <f t="shared" si="9"/>
        <v>0</v>
      </c>
      <c r="Q54" s="102">
        <f t="shared" si="9"/>
        <v>52527.254250004888</v>
      </c>
      <c r="R54" s="102">
        <f>+R36+R49</f>
        <v>-52528.254280000925</v>
      </c>
      <c r="S54" s="102">
        <f t="shared" si="9"/>
        <v>0</v>
      </c>
      <c r="T54" s="102">
        <f t="shared" si="9"/>
        <v>-3.0398368835449219E-5</v>
      </c>
      <c r="U54" s="103"/>
      <c r="V54" s="103"/>
      <c r="W54" s="103"/>
      <c r="X54" s="103"/>
      <c r="Y54" s="103"/>
      <c r="Z54" s="103"/>
      <c r="AA54" s="103"/>
    </row>
    <row r="55" spans="2:27" ht="12.75" hidden="1" x14ac:dyDescent="0.25">
      <c r="G55" s="104"/>
      <c r="H55" s="104"/>
      <c r="I55" s="104"/>
      <c r="J55" s="104"/>
      <c r="K55" s="104"/>
      <c r="L55" s="104"/>
      <c r="M55" s="104"/>
      <c r="N55" s="104"/>
      <c r="O55" s="104"/>
      <c r="P55" s="104"/>
      <c r="Q55" s="104"/>
      <c r="R55" s="104"/>
      <c r="S55" s="104"/>
      <c r="T55" s="104"/>
      <c r="U55" s="103"/>
      <c r="V55" s="103"/>
      <c r="W55" s="103"/>
      <c r="X55" s="103"/>
      <c r="Y55" s="103"/>
      <c r="Z55" s="103"/>
      <c r="AA55" s="103"/>
    </row>
    <row r="56" spans="2:27" ht="12.75" hidden="1" x14ac:dyDescent="0.25">
      <c r="C56" s="15" t="s">
        <v>44</v>
      </c>
      <c r="F56" s="15" t="s">
        <v>45</v>
      </c>
      <c r="G56" s="104"/>
      <c r="H56" s="104"/>
      <c r="I56" s="104"/>
      <c r="J56" s="104"/>
      <c r="K56" s="104"/>
      <c r="L56" s="104"/>
      <c r="M56" s="104"/>
      <c r="N56" s="104"/>
      <c r="O56" s="104"/>
      <c r="P56" s="104"/>
      <c r="Q56" s="104"/>
      <c r="R56" s="104"/>
      <c r="S56" s="104"/>
      <c r="T56" s="104"/>
      <c r="U56" s="103"/>
      <c r="V56" s="103"/>
      <c r="W56" s="103"/>
      <c r="X56" s="103"/>
      <c r="Y56" s="103"/>
      <c r="Z56" s="103"/>
      <c r="AA56" s="103"/>
    </row>
    <row r="57" spans="2:27" ht="12.75" hidden="1" x14ac:dyDescent="0.25">
      <c r="G57" s="104"/>
      <c r="H57" s="104"/>
      <c r="I57" s="104"/>
      <c r="J57" s="104"/>
      <c r="K57" s="104"/>
      <c r="L57" s="104"/>
      <c r="M57" s="104"/>
      <c r="N57" s="104"/>
      <c r="O57" s="104"/>
      <c r="P57" s="104"/>
      <c r="Q57" s="104"/>
      <c r="R57" s="104"/>
      <c r="S57" s="104"/>
      <c r="T57" s="104"/>
      <c r="U57" s="103"/>
      <c r="V57" s="103"/>
      <c r="W57" s="103"/>
      <c r="X57" s="103"/>
      <c r="Y57" s="103"/>
      <c r="Z57" s="103"/>
      <c r="AA57" s="103"/>
    </row>
    <row r="58" spans="2:27" ht="12.75" hidden="1" x14ac:dyDescent="0.25">
      <c r="G58" s="104"/>
      <c r="H58" s="104"/>
      <c r="I58" s="104"/>
      <c r="J58" s="104"/>
      <c r="K58" s="104"/>
      <c r="L58" s="104"/>
      <c r="M58" s="104"/>
      <c r="N58" s="104"/>
      <c r="O58" s="104"/>
      <c r="P58" s="104"/>
      <c r="Q58" s="104"/>
      <c r="R58" s="104"/>
      <c r="S58" s="104"/>
      <c r="T58" s="104"/>
      <c r="U58" s="103"/>
      <c r="V58" s="103"/>
      <c r="W58" s="103"/>
      <c r="X58" s="103"/>
      <c r="Y58" s="103"/>
      <c r="Z58" s="103"/>
      <c r="AA58" s="103"/>
    </row>
    <row r="59" spans="2:27" ht="12.75" hidden="1" x14ac:dyDescent="0.25">
      <c r="C59" s="15" t="s">
        <v>46</v>
      </c>
      <c r="F59" s="15" t="s">
        <v>46</v>
      </c>
      <c r="G59" s="104"/>
      <c r="H59" s="104"/>
      <c r="I59" s="104"/>
      <c r="J59" s="104"/>
      <c r="K59" s="104"/>
      <c r="L59" s="104"/>
      <c r="M59" s="104"/>
      <c r="N59" s="104"/>
      <c r="O59" s="104"/>
      <c r="P59" s="104"/>
      <c r="Q59" s="104"/>
      <c r="R59" s="104"/>
      <c r="S59" s="104"/>
      <c r="T59" s="104"/>
      <c r="U59" s="103"/>
      <c r="V59" s="103"/>
      <c r="W59" s="103"/>
      <c r="X59" s="103"/>
      <c r="Y59" s="103"/>
      <c r="Z59" s="103"/>
      <c r="AA59" s="103"/>
    </row>
    <row r="60" spans="2:27" ht="12.75" hidden="1" x14ac:dyDescent="0.25">
      <c r="G60" s="104"/>
      <c r="H60" s="104"/>
      <c r="I60" s="104"/>
      <c r="J60" s="104"/>
      <c r="K60" s="104"/>
      <c r="L60" s="104"/>
      <c r="M60" s="104"/>
      <c r="N60" s="104"/>
      <c r="O60" s="104"/>
      <c r="P60" s="104"/>
      <c r="Q60" s="104"/>
      <c r="R60" s="104"/>
      <c r="S60" s="104"/>
      <c r="T60" s="104"/>
      <c r="U60" s="103"/>
      <c r="V60" s="103"/>
      <c r="W60" s="103"/>
      <c r="X60" s="103"/>
      <c r="Y60" s="103"/>
      <c r="Z60" s="103"/>
      <c r="AA60" s="103"/>
    </row>
    <row r="61" spans="2:27" ht="12.75" hidden="1" x14ac:dyDescent="0.25">
      <c r="G61" s="104"/>
      <c r="H61" s="104"/>
      <c r="I61" s="104"/>
      <c r="J61" s="104"/>
      <c r="K61" s="104"/>
      <c r="L61" s="104"/>
      <c r="M61" s="104"/>
      <c r="N61" s="104"/>
      <c r="O61" s="104"/>
      <c r="P61" s="104"/>
      <c r="Q61" s="104"/>
      <c r="R61" s="104"/>
      <c r="S61" s="104"/>
      <c r="T61" s="104"/>
      <c r="U61" s="103"/>
      <c r="V61" s="103"/>
      <c r="W61" s="103"/>
      <c r="X61" s="103"/>
      <c r="Y61" s="103"/>
      <c r="Z61" s="103"/>
      <c r="AA61" s="103"/>
    </row>
    <row r="62" spans="2:27" ht="12.75" hidden="1" x14ac:dyDescent="0.25">
      <c r="G62" s="104"/>
      <c r="H62" s="104"/>
      <c r="I62" s="104"/>
      <c r="J62" s="104"/>
      <c r="K62" s="104"/>
      <c r="L62" s="104"/>
      <c r="M62" s="104"/>
      <c r="N62" s="104"/>
      <c r="O62" s="104"/>
      <c r="P62" s="104"/>
      <c r="Q62" s="104"/>
      <c r="R62" s="104"/>
      <c r="S62" s="104"/>
      <c r="T62" s="104"/>
      <c r="U62" s="103"/>
      <c r="V62" s="103"/>
      <c r="W62" s="103"/>
      <c r="X62" s="103"/>
      <c r="Y62" s="103"/>
      <c r="Z62" s="103"/>
      <c r="AA62" s="103"/>
    </row>
    <row r="63" spans="2:27" ht="12.75" hidden="1" x14ac:dyDescent="0.25">
      <c r="G63" s="104"/>
      <c r="H63" s="104"/>
      <c r="I63" s="104"/>
      <c r="J63" s="104"/>
      <c r="K63" s="104"/>
      <c r="L63" s="104"/>
      <c r="M63" s="104"/>
      <c r="N63" s="104"/>
      <c r="O63" s="104"/>
      <c r="P63" s="104"/>
      <c r="Q63" s="104"/>
      <c r="R63" s="104"/>
      <c r="S63" s="104"/>
      <c r="T63" s="104"/>
      <c r="U63" s="103"/>
      <c r="V63" s="103"/>
      <c r="W63" s="103"/>
      <c r="X63" s="103"/>
      <c r="Y63" s="103"/>
      <c r="Z63" s="103"/>
      <c r="AA63" s="103"/>
    </row>
    <row r="64" spans="2:27" x14ac:dyDescent="0.2">
      <c r="G64" s="104"/>
      <c r="H64" s="104"/>
      <c r="I64" s="104"/>
      <c r="J64" s="104"/>
      <c r="K64" s="104"/>
      <c r="L64" s="104"/>
      <c r="M64" s="104"/>
      <c r="N64" s="104"/>
      <c r="O64" s="104"/>
      <c r="P64" s="104"/>
      <c r="Q64" s="104"/>
      <c r="R64" s="104"/>
      <c r="S64" s="104"/>
      <c r="T64" s="104"/>
      <c r="U64" s="103"/>
      <c r="V64" s="103"/>
      <c r="W64" s="103"/>
      <c r="X64" s="103"/>
      <c r="Y64" s="103"/>
      <c r="Z64" s="103"/>
      <c r="AA64" s="103"/>
    </row>
    <row r="65" spans="7:27" x14ac:dyDescent="0.2">
      <c r="G65" s="104"/>
      <c r="H65" s="104"/>
      <c r="I65" s="104"/>
      <c r="J65" s="104"/>
      <c r="K65" s="104"/>
      <c r="L65" s="104"/>
      <c r="M65" s="104"/>
      <c r="N65" s="104"/>
      <c r="O65" s="104"/>
      <c r="P65" s="104"/>
      <c r="Q65" s="104"/>
      <c r="R65" s="104"/>
      <c r="S65" s="104"/>
      <c r="T65" s="104"/>
      <c r="U65" s="103"/>
      <c r="V65" s="103"/>
      <c r="W65" s="103"/>
      <c r="X65" s="103"/>
      <c r="Y65" s="103"/>
      <c r="Z65" s="103"/>
      <c r="AA65" s="103"/>
    </row>
    <row r="66" spans="7:27" x14ac:dyDescent="0.2">
      <c r="G66" s="104"/>
      <c r="H66" s="104"/>
      <c r="I66" s="104"/>
      <c r="J66" s="104"/>
      <c r="K66" s="104"/>
      <c r="L66" s="104"/>
      <c r="M66" s="104"/>
      <c r="N66" s="104"/>
      <c r="O66" s="104"/>
      <c r="P66" s="104"/>
      <c r="Q66" s="104"/>
      <c r="R66" s="104"/>
      <c r="S66" s="104"/>
      <c r="T66" s="104"/>
      <c r="U66" s="103"/>
      <c r="V66" s="103"/>
      <c r="W66" s="103"/>
      <c r="X66" s="103"/>
      <c r="Y66" s="103"/>
      <c r="Z66" s="103"/>
      <c r="AA66" s="103"/>
    </row>
    <row r="67" spans="7:27" x14ac:dyDescent="0.2">
      <c r="G67" s="104"/>
      <c r="H67" s="104"/>
      <c r="I67" s="104"/>
      <c r="J67" s="104"/>
      <c r="K67" s="104"/>
      <c r="L67" s="104"/>
      <c r="M67" s="104"/>
      <c r="N67" s="104"/>
      <c r="O67" s="104"/>
      <c r="P67" s="104"/>
      <c r="Q67" s="104"/>
      <c r="R67" s="104"/>
      <c r="S67" s="104"/>
      <c r="T67" s="104"/>
      <c r="U67" s="103"/>
      <c r="V67" s="103"/>
      <c r="W67" s="103"/>
      <c r="X67" s="103"/>
      <c r="Y67" s="103"/>
      <c r="Z67" s="103"/>
      <c r="AA67" s="103"/>
    </row>
    <row r="68" spans="7:27" x14ac:dyDescent="0.2">
      <c r="G68" s="104"/>
      <c r="H68" s="104"/>
      <c r="I68" s="104"/>
      <c r="J68" s="104"/>
      <c r="K68" s="104"/>
      <c r="L68" s="104"/>
      <c r="M68" s="104"/>
      <c r="N68" s="104"/>
      <c r="O68" s="104"/>
      <c r="P68" s="104"/>
      <c r="Q68" s="104"/>
      <c r="R68" s="104"/>
      <c r="S68" s="104"/>
      <c r="T68" s="104"/>
      <c r="U68" s="103"/>
      <c r="V68" s="103"/>
      <c r="W68" s="103"/>
      <c r="X68" s="103"/>
      <c r="Y68" s="103"/>
      <c r="Z68" s="103"/>
      <c r="AA68" s="103"/>
    </row>
    <row r="69" spans="7:27" x14ac:dyDescent="0.2">
      <c r="G69" s="104"/>
      <c r="H69" s="104"/>
      <c r="I69" s="104"/>
      <c r="J69" s="104"/>
      <c r="K69" s="104"/>
      <c r="L69" s="104"/>
      <c r="M69" s="104"/>
      <c r="N69" s="104"/>
      <c r="O69" s="104"/>
      <c r="P69" s="104"/>
      <c r="Q69" s="104"/>
      <c r="R69" s="104"/>
      <c r="S69" s="104"/>
      <c r="T69" s="104"/>
      <c r="U69" s="103"/>
      <c r="V69" s="103"/>
      <c r="W69" s="103"/>
      <c r="X69" s="103"/>
      <c r="Y69" s="103"/>
      <c r="Z69" s="103"/>
      <c r="AA69" s="103"/>
    </row>
    <row r="70" spans="7:27" x14ac:dyDescent="0.2">
      <c r="G70" s="104"/>
      <c r="H70" s="104"/>
      <c r="I70" s="104"/>
      <c r="J70" s="104"/>
      <c r="K70" s="104"/>
      <c r="L70" s="104"/>
      <c r="M70" s="104"/>
      <c r="N70" s="104"/>
      <c r="O70" s="104"/>
      <c r="P70" s="104"/>
      <c r="Q70" s="104"/>
      <c r="R70" s="104"/>
      <c r="S70" s="104"/>
      <c r="T70" s="104"/>
      <c r="U70" s="103"/>
      <c r="V70" s="103"/>
      <c r="W70" s="103"/>
      <c r="X70" s="103"/>
      <c r="Y70" s="103"/>
      <c r="Z70" s="103"/>
      <c r="AA70" s="103"/>
    </row>
    <row r="71" spans="7:27" x14ac:dyDescent="0.2">
      <c r="G71" s="104"/>
      <c r="H71" s="104"/>
      <c r="I71" s="104"/>
      <c r="J71" s="104"/>
      <c r="K71" s="104"/>
      <c r="L71" s="104"/>
      <c r="M71" s="104"/>
      <c r="N71" s="104"/>
      <c r="O71" s="104"/>
      <c r="P71" s="104"/>
      <c r="Q71" s="104"/>
      <c r="R71" s="104"/>
      <c r="S71" s="104"/>
      <c r="T71" s="104"/>
      <c r="U71" s="103"/>
      <c r="V71" s="103"/>
      <c r="W71" s="103"/>
      <c r="X71" s="103"/>
      <c r="Y71" s="103"/>
      <c r="Z71" s="103"/>
      <c r="AA71" s="103"/>
    </row>
    <row r="72" spans="7:27" x14ac:dyDescent="0.2">
      <c r="G72" s="104"/>
      <c r="H72" s="104"/>
      <c r="I72" s="104"/>
      <c r="J72" s="104"/>
      <c r="K72" s="104"/>
      <c r="L72" s="104"/>
      <c r="M72" s="104"/>
      <c r="N72" s="104"/>
      <c r="O72" s="104"/>
      <c r="P72" s="104"/>
      <c r="Q72" s="104"/>
      <c r="R72" s="104"/>
      <c r="S72" s="104"/>
      <c r="T72" s="104"/>
      <c r="U72" s="103"/>
      <c r="V72" s="103"/>
      <c r="W72" s="103"/>
      <c r="X72" s="103"/>
      <c r="Y72" s="103"/>
      <c r="Z72" s="103"/>
      <c r="AA72" s="103"/>
    </row>
    <row r="73" spans="7:27" x14ac:dyDescent="0.2">
      <c r="G73" s="104"/>
      <c r="H73" s="104"/>
      <c r="I73" s="104"/>
      <c r="J73" s="104"/>
      <c r="K73" s="104"/>
      <c r="L73" s="104"/>
      <c r="M73" s="104"/>
      <c r="N73" s="104"/>
      <c r="O73" s="104"/>
      <c r="P73" s="104"/>
      <c r="Q73" s="104"/>
      <c r="R73" s="104"/>
      <c r="S73" s="104"/>
      <c r="T73" s="104"/>
      <c r="U73" s="103"/>
      <c r="V73" s="103"/>
      <c r="W73" s="103"/>
      <c r="X73" s="103"/>
      <c r="Y73" s="103"/>
      <c r="Z73" s="103"/>
      <c r="AA73" s="103"/>
    </row>
    <row r="74" spans="7:27" x14ac:dyDescent="0.2">
      <c r="G74" s="104"/>
      <c r="H74" s="104"/>
      <c r="I74" s="104"/>
      <c r="J74" s="104"/>
      <c r="K74" s="104"/>
      <c r="L74" s="104"/>
      <c r="M74" s="104"/>
      <c r="N74" s="104"/>
      <c r="O74" s="104"/>
      <c r="P74" s="104"/>
      <c r="Q74" s="104"/>
      <c r="R74" s="104"/>
      <c r="S74" s="104"/>
      <c r="T74" s="104"/>
      <c r="U74" s="103"/>
      <c r="V74" s="103"/>
      <c r="W74" s="103"/>
      <c r="X74" s="103"/>
      <c r="Y74" s="103"/>
      <c r="Z74" s="103"/>
      <c r="AA74" s="103"/>
    </row>
    <row r="75" spans="7:27" x14ac:dyDescent="0.2">
      <c r="G75" s="104"/>
      <c r="H75" s="104"/>
      <c r="I75" s="104"/>
      <c r="J75" s="104"/>
      <c r="K75" s="104"/>
      <c r="L75" s="104"/>
      <c r="M75" s="104"/>
      <c r="N75" s="104"/>
      <c r="O75" s="104"/>
      <c r="P75" s="104"/>
      <c r="Q75" s="104"/>
      <c r="R75" s="104"/>
      <c r="S75" s="104"/>
      <c r="T75" s="104"/>
      <c r="U75" s="103"/>
      <c r="V75" s="103"/>
      <c r="W75" s="103"/>
      <c r="X75" s="103"/>
      <c r="Y75" s="103"/>
      <c r="Z75" s="103"/>
      <c r="AA75" s="103"/>
    </row>
    <row r="76" spans="7:27" x14ac:dyDescent="0.2">
      <c r="G76" s="104"/>
      <c r="H76" s="104"/>
      <c r="I76" s="104"/>
      <c r="J76" s="104"/>
      <c r="K76" s="104"/>
      <c r="L76" s="104"/>
      <c r="M76" s="104"/>
      <c r="N76" s="104"/>
      <c r="O76" s="104"/>
      <c r="P76" s="104"/>
      <c r="Q76" s="104"/>
      <c r="R76" s="104"/>
      <c r="S76" s="104"/>
      <c r="T76" s="104"/>
      <c r="U76" s="103"/>
      <c r="V76" s="103"/>
      <c r="W76" s="103"/>
      <c r="X76" s="103"/>
      <c r="Y76" s="103"/>
      <c r="Z76" s="103"/>
      <c r="AA76" s="103"/>
    </row>
    <row r="77" spans="7:27" x14ac:dyDescent="0.2">
      <c r="G77" s="104"/>
      <c r="H77" s="104"/>
      <c r="I77" s="104"/>
      <c r="J77" s="104"/>
      <c r="K77" s="104"/>
      <c r="L77" s="104"/>
      <c r="M77" s="104"/>
      <c r="N77" s="104"/>
      <c r="O77" s="104"/>
      <c r="P77" s="104"/>
      <c r="Q77" s="104"/>
      <c r="R77" s="104"/>
      <c r="S77" s="104"/>
      <c r="T77" s="104"/>
      <c r="U77" s="103"/>
      <c r="V77" s="103"/>
      <c r="W77" s="103"/>
      <c r="X77" s="103"/>
      <c r="Y77" s="103"/>
      <c r="Z77" s="103"/>
      <c r="AA77" s="103"/>
    </row>
    <row r="78" spans="7:27" x14ac:dyDescent="0.2">
      <c r="G78" s="104"/>
      <c r="H78" s="104"/>
      <c r="I78" s="104"/>
      <c r="J78" s="104"/>
      <c r="K78" s="104"/>
      <c r="L78" s="104"/>
      <c r="M78" s="104"/>
      <c r="N78" s="104"/>
      <c r="O78" s="104"/>
      <c r="P78" s="104"/>
      <c r="Q78" s="104"/>
      <c r="R78" s="104"/>
      <c r="S78" s="104"/>
      <c r="T78" s="104"/>
      <c r="U78" s="103"/>
      <c r="V78" s="103"/>
      <c r="W78" s="103"/>
      <c r="X78" s="103"/>
      <c r="Y78" s="103"/>
      <c r="Z78" s="103"/>
      <c r="AA78" s="103"/>
    </row>
    <row r="79" spans="7:27" x14ac:dyDescent="0.2">
      <c r="G79" s="104"/>
      <c r="H79" s="104"/>
      <c r="I79" s="104"/>
      <c r="J79" s="104"/>
      <c r="K79" s="104"/>
      <c r="L79" s="104"/>
      <c r="M79" s="104"/>
      <c r="N79" s="104"/>
      <c r="O79" s="104"/>
      <c r="P79" s="104"/>
      <c r="Q79" s="104"/>
      <c r="R79" s="104"/>
      <c r="S79" s="104"/>
      <c r="T79" s="104"/>
      <c r="U79" s="103"/>
      <c r="V79" s="103"/>
      <c r="W79" s="103"/>
      <c r="X79" s="103"/>
      <c r="Y79" s="103"/>
      <c r="Z79" s="103"/>
      <c r="AA79" s="103"/>
    </row>
    <row r="80" spans="7:27" x14ac:dyDescent="0.2">
      <c r="G80" s="104"/>
      <c r="H80" s="104"/>
      <c r="I80" s="104"/>
      <c r="J80" s="104"/>
      <c r="K80" s="104"/>
      <c r="L80" s="104"/>
      <c r="M80" s="104"/>
      <c r="N80" s="104"/>
      <c r="O80" s="104"/>
      <c r="P80" s="104"/>
      <c r="Q80" s="104"/>
      <c r="R80" s="104"/>
      <c r="S80" s="104"/>
      <c r="T80" s="104"/>
      <c r="U80" s="103"/>
      <c r="V80" s="103"/>
      <c r="W80" s="103"/>
      <c r="X80" s="103"/>
      <c r="Y80" s="103"/>
      <c r="Z80" s="103"/>
      <c r="AA80" s="103"/>
    </row>
    <row r="81" spans="7:27" x14ac:dyDescent="0.2">
      <c r="G81" s="104"/>
      <c r="H81" s="104"/>
      <c r="I81" s="104"/>
      <c r="J81" s="104"/>
      <c r="K81" s="104"/>
      <c r="L81" s="104"/>
      <c r="M81" s="104"/>
      <c r="N81" s="104"/>
      <c r="O81" s="104"/>
      <c r="P81" s="104"/>
      <c r="Q81" s="104"/>
      <c r="R81" s="104"/>
      <c r="S81" s="104"/>
      <c r="T81" s="104"/>
      <c r="U81" s="103"/>
      <c r="V81" s="103"/>
      <c r="W81" s="103"/>
      <c r="X81" s="103"/>
      <c r="Y81" s="103"/>
      <c r="Z81" s="103"/>
      <c r="AA81" s="103"/>
    </row>
    <row r="82" spans="7:27" x14ac:dyDescent="0.2">
      <c r="G82" s="104"/>
      <c r="H82" s="104"/>
      <c r="I82" s="104"/>
      <c r="J82" s="104"/>
      <c r="K82" s="104"/>
      <c r="L82" s="104"/>
      <c r="M82" s="104"/>
      <c r="N82" s="104"/>
      <c r="O82" s="104"/>
      <c r="P82" s="104"/>
      <c r="Q82" s="104"/>
      <c r="R82" s="104"/>
      <c r="S82" s="104"/>
      <c r="T82" s="104"/>
      <c r="U82" s="103"/>
      <c r="V82" s="103"/>
      <c r="W82" s="103"/>
      <c r="X82" s="103"/>
      <c r="Y82" s="103"/>
      <c r="Z82" s="103"/>
      <c r="AA82" s="103"/>
    </row>
    <row r="83" spans="7:27" x14ac:dyDescent="0.2">
      <c r="G83" s="104"/>
      <c r="H83" s="104"/>
      <c r="I83" s="104"/>
      <c r="J83" s="104"/>
      <c r="K83" s="104"/>
      <c r="L83" s="104"/>
      <c r="M83" s="104"/>
      <c r="N83" s="104"/>
      <c r="O83" s="104"/>
      <c r="P83" s="104"/>
      <c r="Q83" s="104"/>
      <c r="R83" s="104"/>
      <c r="S83" s="104"/>
      <c r="T83" s="104"/>
      <c r="U83" s="103"/>
      <c r="V83" s="103"/>
      <c r="W83" s="103"/>
      <c r="X83" s="103"/>
      <c r="Y83" s="103"/>
      <c r="Z83" s="103"/>
      <c r="AA83" s="103"/>
    </row>
    <row r="84" spans="7:27" x14ac:dyDescent="0.2">
      <c r="G84" s="104"/>
      <c r="H84" s="104"/>
      <c r="I84" s="104"/>
      <c r="J84" s="104"/>
      <c r="K84" s="104"/>
      <c r="L84" s="104"/>
      <c r="M84" s="104"/>
      <c r="N84" s="104"/>
      <c r="O84" s="104"/>
      <c r="P84" s="104"/>
      <c r="Q84" s="104"/>
      <c r="R84" s="104"/>
      <c r="S84" s="104"/>
      <c r="T84" s="104"/>
      <c r="U84" s="103"/>
      <c r="V84" s="103"/>
      <c r="W84" s="103"/>
      <c r="X84" s="103"/>
      <c r="Y84" s="103"/>
      <c r="Z84" s="103"/>
      <c r="AA84" s="103"/>
    </row>
    <row r="85" spans="7:27" x14ac:dyDescent="0.2">
      <c r="G85" s="104"/>
      <c r="H85" s="104"/>
      <c r="I85" s="104"/>
      <c r="J85" s="104"/>
      <c r="K85" s="104"/>
      <c r="L85" s="104"/>
      <c r="M85" s="104"/>
      <c r="N85" s="104"/>
      <c r="O85" s="104"/>
      <c r="P85" s="104"/>
      <c r="Q85" s="104"/>
      <c r="R85" s="104"/>
      <c r="S85" s="104"/>
      <c r="T85" s="104"/>
      <c r="U85" s="103"/>
      <c r="V85" s="103"/>
      <c r="W85" s="103"/>
      <c r="X85" s="103"/>
      <c r="Y85" s="103"/>
      <c r="Z85" s="103"/>
      <c r="AA85" s="103"/>
    </row>
    <row r="86" spans="7:27" x14ac:dyDescent="0.2">
      <c r="G86" s="104"/>
      <c r="H86" s="104"/>
      <c r="I86" s="104"/>
      <c r="J86" s="104"/>
      <c r="K86" s="104"/>
      <c r="L86" s="104"/>
      <c r="M86" s="104"/>
      <c r="N86" s="104"/>
      <c r="O86" s="104"/>
      <c r="P86" s="104"/>
      <c r="Q86" s="104"/>
      <c r="R86" s="104"/>
      <c r="S86" s="104"/>
      <c r="T86" s="104"/>
      <c r="U86" s="103"/>
      <c r="V86" s="103"/>
      <c r="W86" s="103"/>
      <c r="X86" s="103"/>
      <c r="Y86" s="103"/>
      <c r="Z86" s="103"/>
      <c r="AA86" s="103"/>
    </row>
    <row r="87" spans="7:27" x14ac:dyDescent="0.2">
      <c r="G87" s="104"/>
      <c r="H87" s="104"/>
      <c r="I87" s="104"/>
      <c r="J87" s="104"/>
      <c r="K87" s="104"/>
      <c r="L87" s="104"/>
      <c r="M87" s="104"/>
      <c r="N87" s="104"/>
      <c r="O87" s="104"/>
      <c r="P87" s="104"/>
      <c r="Q87" s="104"/>
      <c r="R87" s="104"/>
      <c r="S87" s="104"/>
      <c r="T87" s="104"/>
      <c r="U87" s="103"/>
      <c r="V87" s="103"/>
      <c r="W87" s="103"/>
      <c r="X87" s="103"/>
      <c r="Y87" s="103"/>
      <c r="Z87" s="103"/>
      <c r="AA87" s="103"/>
    </row>
    <row r="88" spans="7:27" x14ac:dyDescent="0.2">
      <c r="G88" s="104"/>
      <c r="H88" s="104"/>
      <c r="I88" s="104"/>
      <c r="J88" s="104"/>
      <c r="K88" s="104"/>
      <c r="L88" s="104"/>
      <c r="M88" s="104"/>
      <c r="N88" s="104"/>
      <c r="O88" s="104"/>
      <c r="P88" s="104"/>
      <c r="Q88" s="104"/>
      <c r="R88" s="104"/>
      <c r="S88" s="104"/>
      <c r="T88" s="104"/>
      <c r="U88" s="103"/>
      <c r="V88" s="103"/>
      <c r="W88" s="103"/>
      <c r="X88" s="103"/>
      <c r="Y88" s="103"/>
      <c r="Z88" s="103"/>
      <c r="AA88" s="103"/>
    </row>
    <row r="89" spans="7:27" x14ac:dyDescent="0.2">
      <c r="G89" s="104"/>
      <c r="H89" s="104"/>
      <c r="I89" s="104"/>
      <c r="J89" s="104"/>
      <c r="K89" s="104"/>
      <c r="L89" s="104"/>
      <c r="M89" s="104"/>
      <c r="N89" s="104"/>
      <c r="O89" s="104"/>
      <c r="P89" s="104"/>
      <c r="Q89" s="104"/>
      <c r="R89" s="104"/>
      <c r="S89" s="104"/>
      <c r="T89" s="104"/>
      <c r="U89" s="103"/>
      <c r="V89" s="103"/>
      <c r="W89" s="103"/>
      <c r="X89" s="103"/>
      <c r="Y89" s="103"/>
      <c r="Z89" s="103"/>
      <c r="AA89" s="103"/>
    </row>
    <row r="90" spans="7:27" x14ac:dyDescent="0.2">
      <c r="G90" s="104"/>
      <c r="H90" s="104"/>
      <c r="I90" s="104"/>
      <c r="J90" s="104"/>
      <c r="K90" s="104"/>
      <c r="L90" s="104"/>
      <c r="M90" s="104"/>
      <c r="N90" s="104"/>
      <c r="O90" s="104"/>
      <c r="P90" s="104"/>
      <c r="Q90" s="104"/>
      <c r="R90" s="104"/>
      <c r="S90" s="104"/>
      <c r="T90" s="104"/>
      <c r="U90" s="103"/>
      <c r="V90" s="103"/>
      <c r="W90" s="103"/>
      <c r="X90" s="103"/>
      <c r="Y90" s="103"/>
      <c r="Z90" s="103"/>
      <c r="AA90" s="103"/>
    </row>
    <row r="91" spans="7:27" x14ac:dyDescent="0.2">
      <c r="G91" s="104"/>
      <c r="H91" s="104"/>
      <c r="I91" s="104"/>
      <c r="J91" s="104"/>
      <c r="K91" s="104"/>
      <c r="L91" s="104"/>
      <c r="M91" s="104"/>
      <c r="N91" s="104"/>
      <c r="O91" s="104"/>
      <c r="P91" s="104"/>
      <c r="Q91" s="104"/>
      <c r="R91" s="104"/>
      <c r="S91" s="104"/>
      <c r="T91" s="104"/>
      <c r="U91" s="103"/>
      <c r="V91" s="103"/>
      <c r="W91" s="103"/>
      <c r="X91" s="103"/>
      <c r="Y91" s="103"/>
      <c r="Z91" s="103"/>
      <c r="AA91" s="103"/>
    </row>
    <row r="92" spans="7:27" x14ac:dyDescent="0.2">
      <c r="G92" s="104"/>
      <c r="H92" s="104"/>
      <c r="I92" s="104"/>
      <c r="J92" s="104"/>
      <c r="K92" s="104"/>
      <c r="L92" s="104"/>
      <c r="M92" s="104"/>
      <c r="N92" s="104"/>
      <c r="O92" s="104"/>
      <c r="P92" s="104"/>
      <c r="Q92" s="104"/>
      <c r="R92" s="104"/>
      <c r="S92" s="104"/>
      <c r="T92" s="104"/>
      <c r="U92" s="103"/>
      <c r="V92" s="103"/>
      <c r="W92" s="103"/>
      <c r="X92" s="103"/>
      <c r="Y92" s="103"/>
      <c r="Z92" s="103"/>
      <c r="AA92" s="103"/>
    </row>
    <row r="93" spans="7:27" x14ac:dyDescent="0.2">
      <c r="G93" s="104"/>
      <c r="H93" s="104"/>
      <c r="I93" s="104"/>
      <c r="J93" s="104"/>
      <c r="K93" s="104"/>
      <c r="L93" s="104"/>
      <c r="M93" s="104"/>
      <c r="N93" s="104"/>
      <c r="O93" s="104"/>
      <c r="P93" s="104"/>
      <c r="Q93" s="104"/>
      <c r="R93" s="104"/>
      <c r="S93" s="104"/>
      <c r="T93" s="104"/>
      <c r="U93" s="103"/>
      <c r="V93" s="103"/>
      <c r="W93" s="103"/>
      <c r="X93" s="103"/>
      <c r="Y93" s="103"/>
      <c r="Z93" s="103"/>
      <c r="AA93" s="103"/>
    </row>
    <row r="94" spans="7:27" x14ac:dyDescent="0.2">
      <c r="G94" s="104"/>
      <c r="H94" s="104"/>
      <c r="I94" s="104"/>
      <c r="J94" s="104"/>
      <c r="K94" s="104"/>
      <c r="L94" s="104"/>
      <c r="M94" s="104"/>
      <c r="N94" s="104"/>
      <c r="O94" s="104"/>
      <c r="P94" s="104"/>
      <c r="Q94" s="104"/>
      <c r="R94" s="104"/>
      <c r="S94" s="104"/>
      <c r="T94" s="104"/>
      <c r="U94" s="103"/>
      <c r="V94" s="103"/>
      <c r="W94" s="103"/>
      <c r="X94" s="103"/>
      <c r="Y94" s="103"/>
      <c r="Z94" s="103"/>
      <c r="AA94" s="103"/>
    </row>
    <row r="95" spans="7:27" x14ac:dyDescent="0.2">
      <c r="G95" s="104"/>
      <c r="H95" s="104"/>
      <c r="I95" s="104"/>
      <c r="J95" s="104"/>
      <c r="K95" s="104"/>
      <c r="L95" s="104"/>
      <c r="M95" s="104"/>
      <c r="N95" s="104"/>
      <c r="O95" s="104"/>
      <c r="P95" s="104"/>
      <c r="Q95" s="104"/>
      <c r="R95" s="104"/>
      <c r="S95" s="104"/>
      <c r="T95" s="104"/>
      <c r="U95" s="103"/>
      <c r="V95" s="103"/>
      <c r="W95" s="103"/>
      <c r="X95" s="103"/>
      <c r="Y95" s="103"/>
      <c r="Z95" s="103"/>
      <c r="AA95" s="103"/>
    </row>
    <row r="96" spans="7:27" x14ac:dyDescent="0.2">
      <c r="G96" s="104"/>
      <c r="H96" s="104"/>
      <c r="I96" s="104"/>
      <c r="J96" s="104"/>
      <c r="K96" s="104"/>
      <c r="L96" s="104"/>
      <c r="M96" s="104"/>
      <c r="N96" s="104"/>
      <c r="O96" s="104"/>
      <c r="P96" s="104"/>
      <c r="Q96" s="104"/>
      <c r="R96" s="104"/>
      <c r="S96" s="104"/>
      <c r="T96" s="104"/>
      <c r="U96" s="103"/>
      <c r="V96" s="103"/>
      <c r="W96" s="103"/>
      <c r="X96" s="103"/>
      <c r="Y96" s="103"/>
      <c r="Z96" s="103"/>
      <c r="AA96" s="103"/>
    </row>
    <row r="97" spans="7:27" x14ac:dyDescent="0.2">
      <c r="G97" s="104"/>
      <c r="H97" s="104"/>
      <c r="I97" s="104"/>
      <c r="J97" s="104"/>
      <c r="K97" s="104"/>
      <c r="L97" s="104"/>
      <c r="M97" s="104"/>
      <c r="N97" s="104"/>
      <c r="O97" s="104"/>
      <c r="P97" s="104"/>
      <c r="Q97" s="104"/>
      <c r="R97" s="104"/>
      <c r="S97" s="104"/>
      <c r="T97" s="104"/>
      <c r="U97" s="103"/>
      <c r="V97" s="103"/>
      <c r="W97" s="103"/>
      <c r="X97" s="103"/>
      <c r="Y97" s="103"/>
      <c r="Z97" s="103"/>
      <c r="AA97" s="103"/>
    </row>
    <row r="98" spans="7:27" x14ac:dyDescent="0.2">
      <c r="G98" s="104"/>
      <c r="H98" s="104"/>
      <c r="I98" s="104"/>
      <c r="J98" s="104"/>
      <c r="K98" s="104"/>
      <c r="L98" s="104"/>
      <c r="M98" s="104"/>
      <c r="N98" s="104"/>
      <c r="O98" s="104"/>
      <c r="P98" s="104"/>
      <c r="Q98" s="104"/>
      <c r="R98" s="104"/>
      <c r="S98" s="104"/>
      <c r="T98" s="104"/>
      <c r="U98" s="103"/>
      <c r="V98" s="103"/>
      <c r="W98" s="103"/>
      <c r="X98" s="103"/>
      <c r="Y98" s="103"/>
      <c r="Z98" s="103"/>
      <c r="AA98" s="103"/>
    </row>
    <row r="99" spans="7:27" x14ac:dyDescent="0.2">
      <c r="G99" s="104"/>
      <c r="H99" s="104"/>
      <c r="I99" s="104"/>
      <c r="J99" s="104"/>
      <c r="K99" s="104"/>
      <c r="L99" s="104"/>
      <c r="M99" s="104"/>
      <c r="N99" s="104"/>
      <c r="O99" s="104"/>
      <c r="P99" s="104"/>
      <c r="Q99" s="104"/>
      <c r="R99" s="104"/>
      <c r="S99" s="104"/>
      <c r="T99" s="104"/>
      <c r="U99" s="103"/>
      <c r="V99" s="103"/>
      <c r="W99" s="103"/>
      <c r="X99" s="103"/>
      <c r="Y99" s="103"/>
      <c r="Z99" s="103"/>
      <c r="AA99" s="103"/>
    </row>
    <row r="100" spans="7:27" x14ac:dyDescent="0.2">
      <c r="G100" s="104"/>
      <c r="H100" s="104"/>
      <c r="I100" s="104"/>
      <c r="J100" s="104"/>
      <c r="K100" s="104"/>
      <c r="L100" s="104"/>
      <c r="M100" s="104"/>
      <c r="N100" s="104"/>
      <c r="O100" s="104"/>
      <c r="P100" s="104"/>
      <c r="Q100" s="104"/>
      <c r="R100" s="104"/>
      <c r="S100" s="104"/>
      <c r="T100" s="104"/>
      <c r="U100" s="103"/>
      <c r="V100" s="103"/>
      <c r="W100" s="103"/>
      <c r="X100" s="103"/>
      <c r="Y100" s="103"/>
      <c r="Z100" s="103"/>
      <c r="AA100" s="103"/>
    </row>
    <row r="101" spans="7:27" x14ac:dyDescent="0.2">
      <c r="G101" s="104"/>
      <c r="H101" s="104"/>
      <c r="I101" s="104"/>
      <c r="J101" s="104"/>
      <c r="K101" s="104"/>
      <c r="L101" s="104"/>
      <c r="M101" s="104"/>
      <c r="N101" s="104"/>
      <c r="O101" s="104"/>
      <c r="P101" s="104"/>
      <c r="Q101" s="104"/>
      <c r="R101" s="104"/>
      <c r="S101" s="104"/>
      <c r="T101" s="104"/>
      <c r="U101" s="103"/>
      <c r="V101" s="103"/>
      <c r="W101" s="103"/>
      <c r="X101" s="103"/>
      <c r="Y101" s="103"/>
      <c r="Z101" s="103"/>
      <c r="AA101" s="103"/>
    </row>
    <row r="102" spans="7:27" x14ac:dyDescent="0.2">
      <c r="G102" s="104"/>
      <c r="H102" s="104"/>
      <c r="I102" s="104"/>
      <c r="J102" s="104"/>
      <c r="K102" s="104"/>
      <c r="L102" s="104"/>
      <c r="M102" s="104"/>
      <c r="N102" s="104"/>
      <c r="O102" s="104"/>
      <c r="P102" s="104"/>
      <c r="Q102" s="104"/>
      <c r="R102" s="104"/>
      <c r="S102" s="104"/>
      <c r="T102" s="104"/>
      <c r="U102" s="103"/>
      <c r="V102" s="103"/>
      <c r="W102" s="103"/>
      <c r="X102" s="103"/>
      <c r="Y102" s="103"/>
      <c r="Z102" s="103"/>
      <c r="AA102" s="103"/>
    </row>
    <row r="103" spans="7:27" x14ac:dyDescent="0.2">
      <c r="G103" s="104"/>
      <c r="H103" s="104"/>
      <c r="I103" s="104"/>
      <c r="J103" s="104"/>
      <c r="K103" s="104"/>
      <c r="L103" s="104"/>
      <c r="M103" s="104"/>
      <c r="N103" s="104"/>
      <c r="O103" s="104"/>
      <c r="P103" s="104"/>
      <c r="Q103" s="104"/>
      <c r="R103" s="104"/>
      <c r="S103" s="104"/>
      <c r="T103" s="104"/>
      <c r="U103" s="103"/>
      <c r="V103" s="103"/>
      <c r="W103" s="103"/>
      <c r="X103" s="103"/>
      <c r="Y103" s="103"/>
      <c r="Z103" s="103"/>
      <c r="AA103" s="103"/>
    </row>
    <row r="104" spans="7:27" x14ac:dyDescent="0.2">
      <c r="G104" s="104"/>
      <c r="H104" s="104"/>
      <c r="I104" s="104"/>
      <c r="J104" s="104"/>
      <c r="K104" s="104"/>
      <c r="L104" s="104"/>
      <c r="M104" s="104"/>
      <c r="N104" s="104"/>
      <c r="O104" s="104"/>
      <c r="P104" s="104"/>
      <c r="Q104" s="104"/>
      <c r="R104" s="104"/>
      <c r="S104" s="104"/>
      <c r="T104" s="104"/>
      <c r="U104" s="103"/>
      <c r="V104" s="103"/>
      <c r="W104" s="103"/>
      <c r="X104" s="103"/>
      <c r="Y104" s="103"/>
      <c r="Z104" s="103"/>
      <c r="AA104" s="103"/>
    </row>
    <row r="105" spans="7:27" x14ac:dyDescent="0.2">
      <c r="G105" s="104"/>
      <c r="H105" s="104"/>
      <c r="I105" s="104"/>
      <c r="J105" s="104"/>
      <c r="K105" s="104"/>
      <c r="L105" s="104"/>
      <c r="M105" s="104"/>
      <c r="N105" s="104"/>
      <c r="O105" s="104"/>
      <c r="P105" s="104"/>
      <c r="Q105" s="104"/>
      <c r="R105" s="104"/>
      <c r="S105" s="104"/>
      <c r="T105" s="104"/>
      <c r="U105" s="103"/>
      <c r="V105" s="103"/>
      <c r="W105" s="103"/>
      <c r="X105" s="103"/>
      <c r="Y105" s="103"/>
      <c r="Z105" s="103"/>
      <c r="AA105" s="103"/>
    </row>
    <row r="106" spans="7:27" x14ac:dyDescent="0.2">
      <c r="G106" s="104"/>
      <c r="H106" s="104"/>
      <c r="I106" s="104"/>
      <c r="J106" s="104"/>
      <c r="K106" s="104"/>
      <c r="L106" s="104"/>
      <c r="M106" s="104"/>
      <c r="N106" s="104"/>
      <c r="O106" s="104"/>
      <c r="P106" s="104"/>
      <c r="Q106" s="104"/>
      <c r="R106" s="104"/>
      <c r="S106" s="104"/>
      <c r="T106" s="104"/>
      <c r="U106" s="103"/>
      <c r="V106" s="103"/>
      <c r="W106" s="103"/>
      <c r="X106" s="103"/>
      <c r="Y106" s="103"/>
      <c r="Z106" s="103"/>
      <c r="AA106" s="103"/>
    </row>
    <row r="107" spans="7:27" x14ac:dyDescent="0.2">
      <c r="G107" s="104"/>
      <c r="H107" s="104"/>
      <c r="I107" s="104"/>
      <c r="J107" s="104"/>
      <c r="K107" s="104"/>
      <c r="L107" s="104"/>
      <c r="M107" s="104"/>
      <c r="N107" s="104"/>
      <c r="O107" s="104"/>
      <c r="P107" s="104"/>
      <c r="Q107" s="104"/>
      <c r="R107" s="104"/>
      <c r="S107" s="104"/>
      <c r="T107" s="104"/>
      <c r="U107" s="103"/>
      <c r="V107" s="103"/>
      <c r="W107" s="103"/>
      <c r="X107" s="103"/>
      <c r="Y107" s="103"/>
      <c r="Z107" s="103"/>
      <c r="AA107" s="103"/>
    </row>
    <row r="108" spans="7:27" x14ac:dyDescent="0.2">
      <c r="G108" s="104"/>
      <c r="H108" s="104"/>
      <c r="I108" s="104"/>
      <c r="J108" s="104"/>
      <c r="K108" s="104"/>
      <c r="L108" s="104"/>
      <c r="M108" s="104"/>
      <c r="N108" s="104"/>
      <c r="O108" s="104"/>
      <c r="P108" s="104"/>
      <c r="Q108" s="104"/>
      <c r="R108" s="104"/>
      <c r="S108" s="104"/>
      <c r="T108" s="104"/>
      <c r="U108" s="103"/>
      <c r="V108" s="103"/>
      <c r="W108" s="103"/>
      <c r="X108" s="103"/>
      <c r="Y108" s="103"/>
      <c r="Z108" s="103"/>
      <c r="AA108" s="103"/>
    </row>
    <row r="109" spans="7:27" x14ac:dyDescent="0.2">
      <c r="G109" s="104"/>
      <c r="H109" s="104"/>
      <c r="I109" s="104"/>
      <c r="J109" s="104"/>
      <c r="K109" s="104"/>
      <c r="L109" s="104"/>
      <c r="M109" s="104"/>
      <c r="N109" s="104"/>
      <c r="O109" s="104"/>
      <c r="P109" s="104"/>
      <c r="Q109" s="104"/>
      <c r="R109" s="104"/>
      <c r="S109" s="104"/>
      <c r="T109" s="104"/>
      <c r="U109" s="103"/>
      <c r="V109" s="103"/>
      <c r="W109" s="103"/>
      <c r="X109" s="103"/>
      <c r="Y109" s="103"/>
      <c r="Z109" s="103"/>
      <c r="AA109" s="103"/>
    </row>
    <row r="110" spans="7:27" x14ac:dyDescent="0.2">
      <c r="G110" s="104"/>
      <c r="H110" s="104"/>
      <c r="I110" s="104"/>
      <c r="J110" s="104"/>
      <c r="K110" s="104"/>
      <c r="L110" s="104"/>
      <c r="M110" s="104"/>
      <c r="N110" s="104"/>
      <c r="O110" s="104"/>
      <c r="P110" s="104"/>
      <c r="Q110" s="104"/>
      <c r="R110" s="104"/>
      <c r="S110" s="104"/>
      <c r="T110" s="104"/>
      <c r="U110" s="103"/>
      <c r="V110" s="103"/>
      <c r="W110" s="103"/>
      <c r="X110" s="103"/>
      <c r="Y110" s="103"/>
      <c r="Z110" s="103"/>
      <c r="AA110" s="103"/>
    </row>
    <row r="111" spans="7:27" x14ac:dyDescent="0.2">
      <c r="G111" s="104"/>
      <c r="H111" s="104"/>
      <c r="I111" s="104"/>
      <c r="J111" s="104"/>
      <c r="K111" s="104"/>
      <c r="L111" s="104"/>
      <c r="M111" s="104"/>
      <c r="N111" s="104"/>
      <c r="O111" s="104"/>
      <c r="P111" s="104"/>
      <c r="Q111" s="104"/>
      <c r="R111" s="104"/>
      <c r="S111" s="104"/>
      <c r="T111" s="104"/>
      <c r="U111" s="103"/>
      <c r="V111" s="103"/>
      <c r="W111" s="103"/>
      <c r="X111" s="103"/>
      <c r="Y111" s="103"/>
      <c r="Z111" s="103"/>
      <c r="AA111" s="103"/>
    </row>
    <row r="112" spans="7:27" x14ac:dyDescent="0.2">
      <c r="G112" s="104"/>
      <c r="H112" s="104"/>
      <c r="I112" s="104"/>
      <c r="J112" s="104"/>
      <c r="K112" s="104"/>
      <c r="L112" s="104"/>
      <c r="M112" s="104"/>
      <c r="N112" s="104"/>
      <c r="O112" s="104"/>
      <c r="P112" s="104"/>
      <c r="Q112" s="104"/>
      <c r="R112" s="104"/>
      <c r="S112" s="104"/>
      <c r="T112" s="104"/>
      <c r="U112" s="103"/>
      <c r="V112" s="103"/>
      <c r="W112" s="103"/>
      <c r="X112" s="103"/>
      <c r="Y112" s="103"/>
      <c r="Z112" s="103"/>
      <c r="AA112" s="103"/>
    </row>
    <row r="113" spans="7:27" x14ac:dyDescent="0.2">
      <c r="G113" s="104"/>
      <c r="H113" s="104"/>
      <c r="I113" s="104"/>
      <c r="J113" s="104"/>
      <c r="K113" s="104"/>
      <c r="L113" s="104"/>
      <c r="M113" s="104"/>
      <c r="N113" s="104"/>
      <c r="O113" s="104"/>
      <c r="P113" s="104"/>
      <c r="Q113" s="104"/>
      <c r="R113" s="104"/>
      <c r="S113" s="104"/>
      <c r="T113" s="104"/>
      <c r="U113" s="103"/>
      <c r="V113" s="103"/>
      <c r="W113" s="103"/>
      <c r="X113" s="103"/>
      <c r="Y113" s="103"/>
      <c r="Z113" s="103"/>
      <c r="AA113" s="103"/>
    </row>
    <row r="114" spans="7:27" x14ac:dyDescent="0.2">
      <c r="G114" s="104"/>
      <c r="H114" s="104"/>
      <c r="I114" s="104"/>
      <c r="J114" s="104"/>
      <c r="K114" s="104"/>
      <c r="L114" s="104"/>
      <c r="M114" s="104"/>
      <c r="N114" s="104"/>
      <c r="O114" s="104"/>
      <c r="P114" s="104"/>
      <c r="Q114" s="104"/>
      <c r="R114" s="104"/>
      <c r="S114" s="104"/>
      <c r="T114" s="104"/>
      <c r="U114" s="103"/>
      <c r="V114" s="103"/>
      <c r="W114" s="103"/>
      <c r="X114" s="103"/>
      <c r="Y114" s="103"/>
      <c r="Z114" s="103"/>
      <c r="AA114" s="103"/>
    </row>
    <row r="115" spans="7:27" x14ac:dyDescent="0.2">
      <c r="G115" s="4"/>
      <c r="H115" s="4"/>
      <c r="I115" s="4"/>
      <c r="J115" s="4"/>
      <c r="K115" s="4"/>
      <c r="L115" s="4"/>
      <c r="M115" s="4"/>
      <c r="N115" s="4"/>
      <c r="O115" s="4"/>
      <c r="P115" s="4"/>
      <c r="Q115" s="4"/>
      <c r="R115" s="4"/>
      <c r="S115" s="4"/>
      <c r="T115" s="4"/>
      <c r="U115" s="103"/>
      <c r="V115" s="103"/>
      <c r="W115" s="103"/>
      <c r="X115" s="103"/>
      <c r="Y115" s="103"/>
      <c r="Z115" s="103"/>
      <c r="AA115" s="103"/>
    </row>
    <row r="116" spans="7:27" x14ac:dyDescent="0.2">
      <c r="G116" s="4"/>
      <c r="H116" s="4"/>
      <c r="I116" s="4"/>
      <c r="J116" s="4"/>
      <c r="K116" s="4"/>
      <c r="L116" s="4"/>
      <c r="M116" s="4"/>
      <c r="N116" s="4"/>
      <c r="O116" s="4"/>
      <c r="P116" s="4"/>
      <c r="Q116" s="4"/>
      <c r="R116" s="4"/>
      <c r="S116" s="4"/>
      <c r="T116" s="4"/>
      <c r="U116" s="103"/>
      <c r="V116" s="103"/>
      <c r="W116" s="103"/>
      <c r="X116" s="103"/>
      <c r="Y116" s="103"/>
      <c r="Z116" s="103"/>
      <c r="AA116" s="103"/>
    </row>
    <row r="117" spans="7:27" x14ac:dyDescent="0.2">
      <c r="G117" s="4"/>
      <c r="H117" s="4"/>
      <c r="I117" s="4"/>
      <c r="J117" s="4"/>
      <c r="K117" s="4"/>
      <c r="L117" s="4"/>
      <c r="M117" s="4"/>
      <c r="N117" s="4"/>
      <c r="O117" s="4"/>
      <c r="P117" s="4"/>
      <c r="Q117" s="4"/>
      <c r="R117" s="4"/>
      <c r="S117" s="4"/>
      <c r="T117" s="4"/>
      <c r="U117" s="103"/>
      <c r="V117" s="103"/>
      <c r="W117" s="103"/>
      <c r="X117" s="103"/>
      <c r="Y117" s="103"/>
      <c r="Z117" s="103"/>
      <c r="AA117" s="103"/>
    </row>
    <row r="118" spans="7:27" x14ac:dyDescent="0.2">
      <c r="G118" s="4"/>
      <c r="H118" s="4"/>
      <c r="I118" s="4"/>
      <c r="J118" s="4"/>
      <c r="K118" s="4"/>
      <c r="L118" s="4"/>
      <c r="M118" s="4"/>
      <c r="N118" s="4"/>
      <c r="O118" s="4"/>
      <c r="P118" s="4"/>
      <c r="Q118" s="4"/>
      <c r="R118" s="4"/>
      <c r="S118" s="4"/>
      <c r="T118" s="4"/>
      <c r="U118" s="103"/>
      <c r="V118" s="103"/>
      <c r="W118" s="103"/>
      <c r="X118" s="103"/>
      <c r="Y118" s="103"/>
      <c r="Z118" s="103"/>
      <c r="AA118" s="103"/>
    </row>
    <row r="119" spans="7:27" x14ac:dyDescent="0.2">
      <c r="G119" s="4"/>
      <c r="H119" s="4"/>
      <c r="I119" s="4"/>
      <c r="J119" s="4"/>
      <c r="K119" s="4"/>
      <c r="L119" s="4"/>
      <c r="M119" s="4"/>
      <c r="N119" s="4"/>
      <c r="O119" s="4"/>
      <c r="P119" s="4"/>
      <c r="Q119" s="4"/>
      <c r="R119" s="4"/>
      <c r="S119" s="4"/>
      <c r="T119" s="4"/>
      <c r="U119" s="103"/>
      <c r="V119" s="103"/>
      <c r="W119" s="103"/>
      <c r="X119" s="103"/>
      <c r="Y119" s="103"/>
      <c r="Z119" s="103"/>
      <c r="AA119" s="103"/>
    </row>
    <row r="120" spans="7:27" x14ac:dyDescent="0.2">
      <c r="G120" s="4"/>
      <c r="H120" s="4"/>
      <c r="I120" s="4"/>
      <c r="J120" s="4"/>
      <c r="K120" s="4"/>
      <c r="L120" s="4"/>
      <c r="M120" s="4"/>
      <c r="N120" s="4"/>
      <c r="O120" s="4"/>
      <c r="P120" s="4"/>
      <c r="Q120" s="4"/>
      <c r="R120" s="4"/>
      <c r="S120" s="4"/>
      <c r="T120" s="4"/>
      <c r="U120" s="103"/>
      <c r="V120" s="103"/>
      <c r="W120" s="103"/>
      <c r="X120" s="103"/>
      <c r="Y120" s="103"/>
      <c r="Z120" s="103"/>
      <c r="AA120" s="103"/>
    </row>
    <row r="121" spans="7:27" x14ac:dyDescent="0.2">
      <c r="G121" s="4"/>
      <c r="H121" s="4"/>
      <c r="I121" s="4"/>
      <c r="J121" s="4"/>
      <c r="K121" s="4"/>
      <c r="L121" s="4"/>
      <c r="M121" s="4"/>
      <c r="N121" s="4"/>
      <c r="O121" s="4"/>
      <c r="P121" s="4"/>
      <c r="Q121" s="4"/>
      <c r="R121" s="4"/>
      <c r="S121" s="4"/>
      <c r="T121" s="4"/>
      <c r="U121" s="103"/>
      <c r="V121" s="103"/>
      <c r="W121" s="103"/>
      <c r="X121" s="103"/>
      <c r="Y121" s="103"/>
      <c r="Z121" s="103"/>
      <c r="AA121" s="103"/>
    </row>
    <row r="122" spans="7:27" x14ac:dyDescent="0.2">
      <c r="G122" s="4"/>
      <c r="H122" s="4"/>
      <c r="I122" s="4"/>
      <c r="J122" s="4"/>
      <c r="K122" s="4"/>
      <c r="L122" s="4"/>
      <c r="M122" s="4"/>
      <c r="N122" s="4"/>
      <c r="O122" s="4"/>
      <c r="P122" s="4"/>
      <c r="Q122" s="4"/>
      <c r="R122" s="4"/>
      <c r="S122" s="4"/>
      <c r="T122" s="4"/>
      <c r="U122" s="103"/>
      <c r="V122" s="103"/>
      <c r="W122" s="103"/>
      <c r="X122" s="103"/>
      <c r="Y122" s="103"/>
      <c r="Z122" s="103"/>
      <c r="AA122" s="103"/>
    </row>
    <row r="123" spans="7:27" x14ac:dyDescent="0.2">
      <c r="G123" s="4"/>
      <c r="H123" s="4"/>
      <c r="I123" s="4"/>
      <c r="J123" s="4"/>
      <c r="K123" s="4"/>
      <c r="L123" s="4"/>
      <c r="M123" s="4"/>
      <c r="N123" s="4"/>
      <c r="O123" s="4"/>
      <c r="P123" s="4"/>
      <c r="Q123" s="4"/>
      <c r="R123" s="4"/>
      <c r="S123" s="4"/>
      <c r="T123" s="4"/>
      <c r="U123" s="103"/>
      <c r="V123" s="103"/>
      <c r="W123" s="103"/>
      <c r="X123" s="103"/>
      <c r="Y123" s="103"/>
      <c r="Z123" s="103"/>
      <c r="AA123" s="103"/>
    </row>
    <row r="124" spans="7:27" x14ac:dyDescent="0.2">
      <c r="G124" s="4"/>
      <c r="H124" s="4"/>
      <c r="I124" s="4"/>
      <c r="J124" s="4"/>
      <c r="K124" s="4"/>
      <c r="L124" s="4"/>
      <c r="M124" s="4"/>
      <c r="N124" s="4"/>
      <c r="O124" s="4"/>
      <c r="P124" s="4"/>
      <c r="Q124" s="4"/>
      <c r="R124" s="4"/>
      <c r="S124" s="4"/>
      <c r="T124" s="4"/>
      <c r="U124" s="103"/>
      <c r="V124" s="103"/>
      <c r="W124" s="103"/>
      <c r="X124" s="103"/>
      <c r="Y124" s="103"/>
      <c r="Z124" s="103"/>
      <c r="AA124" s="103"/>
    </row>
    <row r="125" spans="7:27" x14ac:dyDescent="0.2">
      <c r="G125" s="103"/>
      <c r="H125" s="103"/>
      <c r="I125" s="103"/>
      <c r="J125" s="103"/>
      <c r="K125" s="103"/>
      <c r="L125" s="103"/>
      <c r="M125" s="103"/>
      <c r="N125" s="103"/>
      <c r="O125" s="103"/>
      <c r="P125" s="103"/>
      <c r="Q125" s="103"/>
      <c r="R125" s="103"/>
      <c r="S125" s="103"/>
      <c r="T125" s="103"/>
      <c r="U125" s="103"/>
      <c r="V125" s="103"/>
      <c r="W125" s="103"/>
      <c r="X125" s="103"/>
      <c r="Y125" s="103"/>
      <c r="Z125" s="103"/>
      <c r="AA125" s="103"/>
    </row>
    <row r="126" spans="7:27" x14ac:dyDescent="0.2">
      <c r="G126" s="103"/>
      <c r="H126" s="103"/>
      <c r="I126" s="103"/>
      <c r="J126" s="103"/>
      <c r="K126" s="103"/>
      <c r="L126" s="103"/>
      <c r="M126" s="103"/>
      <c r="N126" s="103"/>
      <c r="O126" s="103"/>
      <c r="P126" s="103"/>
      <c r="Q126" s="103"/>
      <c r="R126" s="103"/>
      <c r="S126" s="103"/>
      <c r="T126" s="103"/>
      <c r="U126" s="103"/>
      <c r="V126" s="103"/>
      <c r="W126" s="103"/>
      <c r="X126" s="103"/>
      <c r="Y126" s="103"/>
      <c r="Z126" s="103"/>
      <c r="AA126" s="103"/>
    </row>
    <row r="127" spans="7:27" x14ac:dyDescent="0.2">
      <c r="G127" s="103"/>
      <c r="H127" s="103"/>
      <c r="I127" s="103"/>
      <c r="J127" s="103"/>
      <c r="K127" s="103"/>
      <c r="L127" s="103"/>
      <c r="M127" s="103"/>
      <c r="N127" s="103"/>
      <c r="O127" s="103"/>
      <c r="P127" s="103"/>
      <c r="Q127" s="103"/>
      <c r="R127" s="103"/>
      <c r="S127" s="103"/>
      <c r="T127" s="103"/>
      <c r="U127" s="103"/>
      <c r="V127" s="103"/>
      <c r="W127" s="103"/>
      <c r="X127" s="103"/>
      <c r="Y127" s="103"/>
      <c r="Z127" s="103"/>
      <c r="AA127" s="103"/>
    </row>
    <row r="128" spans="7:27" x14ac:dyDescent="0.2">
      <c r="G128" s="103"/>
      <c r="H128" s="103"/>
      <c r="I128" s="103"/>
      <c r="J128" s="103"/>
      <c r="K128" s="103"/>
      <c r="L128" s="103"/>
      <c r="M128" s="103"/>
      <c r="N128" s="103"/>
      <c r="O128" s="103"/>
      <c r="P128" s="103"/>
      <c r="Q128" s="103"/>
      <c r="R128" s="103"/>
      <c r="S128" s="103"/>
      <c r="T128" s="103"/>
      <c r="U128" s="103"/>
      <c r="V128" s="103"/>
      <c r="W128" s="103"/>
      <c r="X128" s="103"/>
      <c r="Y128" s="103"/>
      <c r="Z128" s="103"/>
      <c r="AA128" s="103"/>
    </row>
    <row r="129" spans="7:27" x14ac:dyDescent="0.2">
      <c r="G129" s="103"/>
      <c r="H129" s="103"/>
      <c r="I129" s="103"/>
      <c r="J129" s="103"/>
      <c r="K129" s="103"/>
      <c r="L129" s="103"/>
      <c r="M129" s="103"/>
      <c r="N129" s="103"/>
      <c r="O129" s="103"/>
      <c r="P129" s="103"/>
      <c r="Q129" s="103"/>
      <c r="R129" s="103"/>
      <c r="S129" s="103"/>
      <c r="T129" s="103"/>
      <c r="U129" s="103"/>
      <c r="V129" s="103"/>
      <c r="W129" s="103"/>
      <c r="X129" s="103"/>
      <c r="Y129" s="103"/>
      <c r="Z129" s="103"/>
      <c r="AA129" s="103"/>
    </row>
    <row r="130" spans="7:27" x14ac:dyDescent="0.2">
      <c r="G130" s="103"/>
      <c r="H130" s="103"/>
      <c r="I130" s="103"/>
      <c r="J130" s="103"/>
      <c r="K130" s="103"/>
      <c r="L130" s="103"/>
      <c r="M130" s="103"/>
      <c r="N130" s="103"/>
      <c r="O130" s="103"/>
      <c r="P130" s="103"/>
      <c r="Q130" s="103"/>
      <c r="R130" s="103"/>
      <c r="S130" s="103"/>
      <c r="T130" s="103"/>
      <c r="U130" s="103"/>
      <c r="V130" s="103"/>
      <c r="W130" s="103"/>
      <c r="X130" s="103"/>
      <c r="Y130" s="103"/>
      <c r="Z130" s="103"/>
      <c r="AA130" s="103"/>
    </row>
    <row r="131" spans="7:27" x14ac:dyDescent="0.2">
      <c r="G131" s="103"/>
      <c r="H131" s="103"/>
      <c r="I131" s="103"/>
      <c r="J131" s="103"/>
      <c r="K131" s="103"/>
      <c r="L131" s="103"/>
      <c r="M131" s="103"/>
      <c r="N131" s="103"/>
      <c r="O131" s="103"/>
      <c r="P131" s="103"/>
      <c r="Q131" s="103"/>
      <c r="R131" s="103"/>
      <c r="S131" s="103"/>
      <c r="T131" s="103"/>
      <c r="U131" s="103"/>
      <c r="V131" s="103"/>
      <c r="W131" s="103"/>
      <c r="X131" s="103"/>
      <c r="Y131" s="103"/>
      <c r="Z131" s="103"/>
      <c r="AA131" s="103"/>
    </row>
    <row r="132" spans="7:27" x14ac:dyDescent="0.2">
      <c r="G132" s="103"/>
      <c r="H132" s="103"/>
      <c r="I132" s="103"/>
      <c r="J132" s="103"/>
      <c r="K132" s="103"/>
      <c r="L132" s="103"/>
      <c r="M132" s="103"/>
      <c r="N132" s="103"/>
      <c r="O132" s="103"/>
      <c r="P132" s="103"/>
      <c r="Q132" s="103"/>
      <c r="R132" s="103"/>
      <c r="S132" s="103"/>
      <c r="T132" s="103"/>
      <c r="U132" s="103"/>
      <c r="V132" s="103"/>
      <c r="W132" s="103"/>
      <c r="X132" s="103"/>
      <c r="Y132" s="103"/>
      <c r="Z132" s="103"/>
      <c r="AA132" s="103"/>
    </row>
    <row r="133" spans="7:27" x14ac:dyDescent="0.2">
      <c r="G133" s="103"/>
      <c r="H133" s="103"/>
      <c r="I133" s="103"/>
      <c r="J133" s="103"/>
      <c r="K133" s="103"/>
      <c r="L133" s="103"/>
      <c r="M133" s="103"/>
      <c r="N133" s="103"/>
      <c r="O133" s="103"/>
      <c r="P133" s="103"/>
      <c r="Q133" s="103"/>
      <c r="R133" s="103"/>
      <c r="S133" s="103"/>
      <c r="T133" s="103"/>
      <c r="U133" s="103"/>
      <c r="V133" s="103"/>
      <c r="W133" s="103"/>
      <c r="X133" s="103"/>
      <c r="Y133" s="103"/>
      <c r="Z133" s="103"/>
      <c r="AA133" s="103"/>
    </row>
    <row r="134" spans="7:27" x14ac:dyDescent="0.2">
      <c r="G134" s="103"/>
      <c r="H134" s="103"/>
      <c r="I134" s="103"/>
      <c r="J134" s="103"/>
      <c r="K134" s="103"/>
      <c r="L134" s="103"/>
      <c r="M134" s="103"/>
      <c r="N134" s="103"/>
      <c r="O134" s="103"/>
      <c r="P134" s="103"/>
      <c r="Q134" s="103"/>
      <c r="R134" s="103"/>
      <c r="S134" s="103"/>
      <c r="T134" s="103"/>
      <c r="U134" s="103"/>
      <c r="V134" s="103"/>
      <c r="W134" s="103"/>
      <c r="X134" s="103"/>
      <c r="Y134" s="103"/>
      <c r="Z134" s="103"/>
      <c r="AA134" s="103"/>
    </row>
    <row r="135" spans="7:27" x14ac:dyDescent="0.2">
      <c r="G135" s="103"/>
      <c r="H135" s="103"/>
      <c r="I135" s="103"/>
      <c r="J135" s="103"/>
      <c r="K135" s="103"/>
      <c r="L135" s="103"/>
      <c r="M135" s="103"/>
      <c r="N135" s="103"/>
      <c r="O135" s="103"/>
      <c r="P135" s="103"/>
      <c r="Q135" s="103"/>
      <c r="R135" s="103"/>
      <c r="S135" s="103"/>
      <c r="T135" s="103"/>
      <c r="U135" s="103"/>
      <c r="V135" s="103"/>
      <c r="W135" s="103"/>
      <c r="X135" s="103"/>
      <c r="Y135" s="103"/>
      <c r="Z135" s="103"/>
      <c r="AA135" s="103"/>
    </row>
    <row r="136" spans="7:27" x14ac:dyDescent="0.2">
      <c r="G136" s="103"/>
      <c r="H136" s="103"/>
      <c r="I136" s="103"/>
      <c r="J136" s="103"/>
      <c r="K136" s="103"/>
      <c r="L136" s="103"/>
      <c r="M136" s="103"/>
      <c r="N136" s="103"/>
      <c r="O136" s="103"/>
      <c r="P136" s="103"/>
      <c r="Q136" s="103"/>
      <c r="R136" s="103"/>
      <c r="S136" s="103"/>
      <c r="T136" s="103"/>
      <c r="U136" s="103"/>
      <c r="V136" s="103"/>
      <c r="W136" s="103"/>
      <c r="X136" s="103"/>
      <c r="Y136" s="103"/>
      <c r="Z136" s="103"/>
      <c r="AA136" s="103"/>
    </row>
    <row r="137" spans="7:27" x14ac:dyDescent="0.2">
      <c r="G137" s="103"/>
      <c r="H137" s="103"/>
      <c r="I137" s="103"/>
      <c r="J137" s="103"/>
      <c r="K137" s="103"/>
      <c r="L137" s="103"/>
      <c r="M137" s="103"/>
      <c r="N137" s="103"/>
      <c r="O137" s="103"/>
      <c r="P137" s="103"/>
      <c r="Q137" s="103"/>
      <c r="R137" s="103"/>
      <c r="S137" s="103"/>
      <c r="T137" s="103"/>
      <c r="U137" s="103"/>
      <c r="V137" s="103"/>
      <c r="W137" s="103"/>
      <c r="X137" s="103"/>
      <c r="Y137" s="103"/>
      <c r="Z137" s="103"/>
      <c r="AA137" s="103"/>
    </row>
    <row r="138" spans="7:27" x14ac:dyDescent="0.2">
      <c r="G138" s="103"/>
      <c r="H138" s="103"/>
      <c r="I138" s="103"/>
      <c r="J138" s="103"/>
      <c r="K138" s="103"/>
      <c r="L138" s="103"/>
      <c r="M138" s="103"/>
      <c r="N138" s="103"/>
      <c r="O138" s="103"/>
      <c r="P138" s="103"/>
      <c r="Q138" s="103"/>
      <c r="R138" s="103"/>
      <c r="S138" s="103"/>
      <c r="T138" s="103"/>
      <c r="U138" s="103"/>
      <c r="V138" s="103"/>
      <c r="W138" s="103"/>
      <c r="X138" s="103"/>
      <c r="Y138" s="103"/>
      <c r="Z138" s="103"/>
      <c r="AA138" s="103"/>
    </row>
    <row r="139" spans="7:27" x14ac:dyDescent="0.2">
      <c r="G139" s="103"/>
      <c r="H139" s="103"/>
      <c r="I139" s="103"/>
      <c r="J139" s="103"/>
      <c r="K139" s="103"/>
      <c r="L139" s="103"/>
      <c r="M139" s="103"/>
      <c r="N139" s="103"/>
      <c r="O139" s="103"/>
      <c r="P139" s="103"/>
      <c r="Q139" s="103"/>
      <c r="R139" s="103"/>
      <c r="S139" s="103"/>
      <c r="T139" s="103"/>
      <c r="U139" s="103"/>
      <c r="V139" s="103"/>
      <c r="W139" s="103"/>
      <c r="X139" s="103"/>
      <c r="Y139" s="103"/>
      <c r="Z139" s="103"/>
      <c r="AA139" s="103"/>
    </row>
    <row r="140" spans="7:27" x14ac:dyDescent="0.2">
      <c r="G140" s="103"/>
      <c r="H140" s="103"/>
      <c r="I140" s="103"/>
      <c r="J140" s="103"/>
      <c r="K140" s="103"/>
      <c r="L140" s="103"/>
      <c r="M140" s="103"/>
      <c r="N140" s="103"/>
      <c r="O140" s="103"/>
      <c r="P140" s="103"/>
      <c r="Q140" s="103"/>
      <c r="R140" s="103"/>
      <c r="S140" s="103"/>
      <c r="T140" s="103"/>
      <c r="U140" s="103"/>
      <c r="V140" s="103"/>
      <c r="W140" s="103"/>
      <c r="X140" s="103"/>
      <c r="Y140" s="103"/>
      <c r="Z140" s="103"/>
      <c r="AA140" s="103"/>
    </row>
    <row r="141" spans="7:27" x14ac:dyDescent="0.2">
      <c r="G141" s="103"/>
      <c r="H141" s="103"/>
      <c r="I141" s="103"/>
      <c r="J141" s="103"/>
      <c r="K141" s="103"/>
      <c r="L141" s="103"/>
      <c r="M141" s="103"/>
      <c r="N141" s="103"/>
      <c r="O141" s="103"/>
      <c r="P141" s="103"/>
      <c r="Q141" s="103"/>
      <c r="R141" s="103"/>
      <c r="S141" s="103"/>
      <c r="T141" s="103"/>
      <c r="U141" s="103"/>
      <c r="V141" s="103"/>
      <c r="W141" s="103"/>
      <c r="X141" s="103"/>
      <c r="Y141" s="103"/>
      <c r="Z141" s="103"/>
      <c r="AA141" s="103"/>
    </row>
    <row r="142" spans="7:27" x14ac:dyDescent="0.2">
      <c r="G142" s="103"/>
      <c r="H142" s="103"/>
      <c r="I142" s="103"/>
      <c r="J142" s="103"/>
      <c r="K142" s="103"/>
      <c r="L142" s="103"/>
      <c r="M142" s="103"/>
      <c r="N142" s="103"/>
      <c r="O142" s="103"/>
      <c r="P142" s="103"/>
      <c r="Q142" s="103"/>
      <c r="R142" s="103"/>
      <c r="S142" s="103"/>
      <c r="T142" s="103"/>
      <c r="U142" s="103"/>
      <c r="V142" s="103"/>
      <c r="W142" s="103"/>
      <c r="X142" s="103"/>
      <c r="Y142" s="103"/>
      <c r="Z142" s="103"/>
      <c r="AA142" s="103"/>
    </row>
    <row r="143" spans="7:27" x14ac:dyDescent="0.2">
      <c r="G143" s="103"/>
      <c r="H143" s="103"/>
      <c r="I143" s="103"/>
      <c r="J143" s="103"/>
      <c r="K143" s="103"/>
      <c r="L143" s="103"/>
      <c r="M143" s="103"/>
      <c r="N143" s="103"/>
      <c r="O143" s="103"/>
      <c r="P143" s="103"/>
      <c r="Q143" s="103"/>
      <c r="R143" s="103"/>
      <c r="S143" s="103"/>
      <c r="T143" s="103"/>
      <c r="U143" s="103"/>
      <c r="V143" s="103"/>
      <c r="W143" s="103"/>
      <c r="X143" s="103"/>
      <c r="Y143" s="103"/>
      <c r="Z143" s="103"/>
      <c r="AA143" s="103"/>
    </row>
    <row r="144" spans="7:27" x14ac:dyDescent="0.2">
      <c r="G144" s="103"/>
      <c r="H144" s="103"/>
      <c r="I144" s="103"/>
      <c r="J144" s="103"/>
      <c r="K144" s="103"/>
      <c r="L144" s="103"/>
      <c r="M144" s="103"/>
      <c r="N144" s="103"/>
      <c r="O144" s="103"/>
      <c r="P144" s="103"/>
      <c r="Q144" s="103"/>
      <c r="R144" s="103"/>
      <c r="S144" s="103"/>
      <c r="T144" s="103"/>
      <c r="U144" s="103"/>
      <c r="V144" s="103"/>
      <c r="W144" s="103"/>
      <c r="X144" s="103"/>
      <c r="Y144" s="103"/>
      <c r="Z144" s="103"/>
      <c r="AA144" s="103"/>
    </row>
    <row r="145" spans="7:27" x14ac:dyDescent="0.2">
      <c r="G145" s="103"/>
      <c r="H145" s="103"/>
      <c r="I145" s="103"/>
      <c r="J145" s="103"/>
      <c r="K145" s="103"/>
      <c r="L145" s="103"/>
      <c r="M145" s="103"/>
      <c r="N145" s="103"/>
      <c r="O145" s="103"/>
      <c r="P145" s="103"/>
      <c r="Q145" s="103"/>
      <c r="R145" s="103"/>
      <c r="S145" s="103"/>
      <c r="T145" s="103"/>
      <c r="U145" s="103"/>
      <c r="V145" s="103"/>
      <c r="W145" s="103"/>
      <c r="X145" s="103"/>
      <c r="Y145" s="103"/>
      <c r="Z145" s="103"/>
      <c r="AA145" s="103"/>
    </row>
    <row r="146" spans="7:27" x14ac:dyDescent="0.2">
      <c r="G146" s="103"/>
      <c r="H146" s="103"/>
      <c r="I146" s="103"/>
      <c r="J146" s="103"/>
      <c r="K146" s="103"/>
      <c r="L146" s="103"/>
      <c r="M146" s="103"/>
      <c r="N146" s="103"/>
      <c r="O146" s="103"/>
      <c r="P146" s="103"/>
      <c r="Q146" s="103"/>
      <c r="R146" s="103"/>
      <c r="S146" s="103"/>
      <c r="T146" s="103"/>
      <c r="U146" s="103"/>
      <c r="V146" s="103"/>
      <c r="W146" s="103"/>
      <c r="X146" s="103"/>
      <c r="Y146" s="103"/>
      <c r="Z146" s="103"/>
      <c r="AA146" s="103"/>
    </row>
    <row r="147" spans="7:27" x14ac:dyDescent="0.2">
      <c r="G147" s="103"/>
      <c r="H147" s="103"/>
      <c r="I147" s="103"/>
      <c r="J147" s="103"/>
      <c r="K147" s="103"/>
      <c r="L147" s="103"/>
      <c r="M147" s="103"/>
      <c r="N147" s="103"/>
      <c r="O147" s="103"/>
      <c r="P147" s="103"/>
      <c r="Q147" s="103"/>
      <c r="R147" s="103"/>
      <c r="S147" s="103"/>
      <c r="T147" s="103"/>
      <c r="U147" s="103"/>
      <c r="V147" s="103"/>
      <c r="W147" s="103"/>
      <c r="X147" s="103"/>
      <c r="Y147" s="103"/>
      <c r="Z147" s="103"/>
      <c r="AA147" s="103"/>
    </row>
    <row r="148" spans="7:27" x14ac:dyDescent="0.2">
      <c r="G148" s="103"/>
      <c r="H148" s="103"/>
      <c r="I148" s="103"/>
      <c r="J148" s="103"/>
      <c r="K148" s="103"/>
      <c r="L148" s="103"/>
      <c r="M148" s="103"/>
      <c r="N148" s="103"/>
      <c r="O148" s="103"/>
      <c r="P148" s="103"/>
      <c r="Q148" s="103"/>
      <c r="R148" s="103"/>
      <c r="S148" s="103"/>
      <c r="T148" s="103"/>
      <c r="U148" s="103"/>
      <c r="V148" s="103"/>
      <c r="W148" s="103"/>
      <c r="X148" s="103"/>
      <c r="Y148" s="103"/>
      <c r="Z148" s="103"/>
      <c r="AA148" s="103"/>
    </row>
    <row r="149" spans="7:27" x14ac:dyDescent="0.2">
      <c r="G149" s="103"/>
      <c r="H149" s="103"/>
      <c r="I149" s="103"/>
      <c r="J149" s="103"/>
      <c r="K149" s="103"/>
      <c r="L149" s="103"/>
      <c r="M149" s="103"/>
      <c r="N149" s="103"/>
      <c r="O149" s="103"/>
      <c r="P149" s="103"/>
      <c r="Q149" s="103"/>
      <c r="R149" s="103"/>
      <c r="S149" s="103"/>
      <c r="T149" s="103"/>
      <c r="U149" s="103"/>
      <c r="V149" s="103"/>
      <c r="W149" s="103"/>
      <c r="X149" s="103"/>
      <c r="Y149" s="103"/>
      <c r="Z149" s="103"/>
      <c r="AA149" s="103"/>
    </row>
    <row r="150" spans="7:27" x14ac:dyDescent="0.2">
      <c r="G150" s="103"/>
      <c r="H150" s="103"/>
      <c r="I150" s="103"/>
      <c r="J150" s="103"/>
      <c r="K150" s="103"/>
      <c r="L150" s="103"/>
      <c r="M150" s="103"/>
      <c r="N150" s="103"/>
      <c r="O150" s="103"/>
      <c r="P150" s="103"/>
      <c r="Q150" s="103"/>
      <c r="R150" s="103"/>
      <c r="S150" s="103"/>
      <c r="T150" s="103"/>
      <c r="U150" s="103"/>
      <c r="V150" s="103"/>
      <c r="W150" s="103"/>
      <c r="X150" s="103"/>
      <c r="Y150" s="103"/>
      <c r="Z150" s="103"/>
      <c r="AA150" s="103"/>
    </row>
    <row r="151" spans="7:27" x14ac:dyDescent="0.2">
      <c r="G151" s="103"/>
      <c r="H151" s="103"/>
      <c r="I151" s="103"/>
      <c r="J151" s="103"/>
      <c r="K151" s="103"/>
      <c r="L151" s="103"/>
      <c r="M151" s="103"/>
      <c r="N151" s="103"/>
      <c r="O151" s="103"/>
      <c r="P151" s="103"/>
      <c r="Q151" s="103"/>
      <c r="R151" s="103"/>
      <c r="S151" s="103"/>
      <c r="T151" s="103"/>
      <c r="U151" s="103"/>
      <c r="V151" s="103"/>
      <c r="W151" s="103"/>
      <c r="X151" s="103"/>
      <c r="Y151" s="103"/>
      <c r="Z151" s="103"/>
      <c r="AA151" s="103"/>
    </row>
    <row r="152" spans="7:27" x14ac:dyDescent="0.2">
      <c r="G152" s="103"/>
      <c r="H152" s="103"/>
      <c r="I152" s="103"/>
      <c r="J152" s="103"/>
      <c r="K152" s="103"/>
      <c r="L152" s="103"/>
      <c r="M152" s="103"/>
      <c r="N152" s="103"/>
      <c r="O152" s="103"/>
      <c r="P152" s="103"/>
      <c r="Q152" s="103"/>
      <c r="R152" s="103"/>
      <c r="S152" s="103"/>
      <c r="T152" s="103"/>
      <c r="U152" s="103"/>
      <c r="V152" s="103"/>
      <c r="W152" s="103"/>
      <c r="X152" s="103"/>
      <c r="Y152" s="103"/>
      <c r="Z152" s="103"/>
      <c r="AA152" s="103"/>
    </row>
    <row r="153" spans="7:27" x14ac:dyDescent="0.2">
      <c r="G153" s="103"/>
      <c r="H153" s="103"/>
      <c r="I153" s="103"/>
      <c r="J153" s="103"/>
      <c r="K153" s="103"/>
      <c r="L153" s="103"/>
      <c r="M153" s="103"/>
      <c r="N153" s="103"/>
      <c r="O153" s="103"/>
      <c r="P153" s="103"/>
      <c r="Q153" s="103"/>
      <c r="R153" s="103"/>
      <c r="S153" s="103"/>
      <c r="T153" s="103"/>
      <c r="U153" s="103"/>
      <c r="V153" s="103"/>
      <c r="W153" s="103"/>
      <c r="X153" s="103"/>
      <c r="Y153" s="103"/>
      <c r="Z153" s="103"/>
      <c r="AA153" s="103"/>
    </row>
    <row r="154" spans="7:27" x14ac:dyDescent="0.2">
      <c r="G154" s="103"/>
      <c r="H154" s="103"/>
      <c r="I154" s="103"/>
      <c r="J154" s="103"/>
      <c r="K154" s="103"/>
      <c r="L154" s="103"/>
      <c r="M154" s="103"/>
      <c r="N154" s="103"/>
      <c r="O154" s="103"/>
      <c r="P154" s="103"/>
      <c r="Q154" s="103"/>
      <c r="R154" s="103"/>
      <c r="S154" s="103"/>
      <c r="T154" s="103"/>
      <c r="U154" s="103"/>
      <c r="V154" s="103"/>
      <c r="W154" s="103"/>
      <c r="X154" s="103"/>
      <c r="Y154" s="103"/>
      <c r="Z154" s="103"/>
      <c r="AA154" s="103"/>
    </row>
    <row r="155" spans="7:27" x14ac:dyDescent="0.2">
      <c r="G155" s="103"/>
      <c r="H155" s="103"/>
      <c r="I155" s="103"/>
      <c r="J155" s="103"/>
      <c r="K155" s="103"/>
      <c r="L155" s="103"/>
      <c r="M155" s="103"/>
      <c r="N155" s="103"/>
      <c r="O155" s="103"/>
      <c r="P155" s="103"/>
      <c r="Q155" s="103"/>
      <c r="R155" s="103"/>
      <c r="S155" s="103"/>
      <c r="T155" s="103"/>
      <c r="U155" s="103"/>
      <c r="V155" s="103"/>
      <c r="W155" s="103"/>
      <c r="X155" s="103"/>
      <c r="Y155" s="103"/>
      <c r="Z155" s="103"/>
      <c r="AA155" s="103"/>
    </row>
    <row r="156" spans="7:27" x14ac:dyDescent="0.2">
      <c r="G156" s="103"/>
      <c r="H156" s="103"/>
      <c r="I156" s="103"/>
      <c r="J156" s="103"/>
      <c r="K156" s="103"/>
      <c r="L156" s="103"/>
      <c r="M156" s="103"/>
      <c r="N156" s="103"/>
      <c r="O156" s="103"/>
      <c r="P156" s="103"/>
      <c r="Q156" s="103"/>
      <c r="R156" s="103"/>
      <c r="S156" s="103"/>
      <c r="T156" s="103"/>
      <c r="U156" s="103"/>
      <c r="V156" s="103"/>
      <c r="W156" s="103"/>
      <c r="X156" s="103"/>
      <c r="Y156" s="103"/>
      <c r="Z156" s="103"/>
      <c r="AA156" s="103"/>
    </row>
    <row r="157" spans="7:27" x14ac:dyDescent="0.2">
      <c r="G157" s="103"/>
      <c r="H157" s="103"/>
      <c r="I157" s="103"/>
      <c r="J157" s="103"/>
      <c r="K157" s="103"/>
      <c r="L157" s="103"/>
      <c r="M157" s="103"/>
      <c r="N157" s="103"/>
      <c r="O157" s="103"/>
      <c r="P157" s="103"/>
      <c r="Q157" s="103"/>
      <c r="R157" s="103"/>
      <c r="S157" s="103"/>
      <c r="T157" s="103"/>
      <c r="U157" s="103"/>
      <c r="V157" s="103"/>
      <c r="W157" s="103"/>
      <c r="X157" s="103"/>
      <c r="Y157" s="103"/>
      <c r="Z157" s="103"/>
      <c r="AA157" s="103"/>
    </row>
    <row r="158" spans="7:27" x14ac:dyDescent="0.2">
      <c r="G158" s="103"/>
      <c r="H158" s="103"/>
      <c r="I158" s="103"/>
      <c r="J158" s="103"/>
      <c r="K158" s="103"/>
      <c r="L158" s="103"/>
      <c r="M158" s="103"/>
      <c r="N158" s="103"/>
      <c r="O158" s="103"/>
      <c r="P158" s="103"/>
      <c r="Q158" s="103"/>
      <c r="R158" s="103"/>
      <c r="S158" s="103"/>
      <c r="T158" s="103"/>
      <c r="U158" s="103"/>
      <c r="V158" s="103"/>
      <c r="W158" s="103"/>
      <c r="X158" s="103"/>
      <c r="Y158" s="103"/>
      <c r="Z158" s="103"/>
      <c r="AA158" s="103"/>
    </row>
    <row r="159" spans="7:27" x14ac:dyDescent="0.2">
      <c r="G159" s="103"/>
      <c r="H159" s="103"/>
      <c r="I159" s="103"/>
      <c r="J159" s="103"/>
      <c r="K159" s="103"/>
      <c r="L159" s="103"/>
      <c r="M159" s="103"/>
      <c r="N159" s="103"/>
      <c r="O159" s="103"/>
      <c r="P159" s="103"/>
      <c r="Q159" s="103"/>
      <c r="R159" s="103"/>
      <c r="S159" s="103"/>
      <c r="T159" s="103"/>
      <c r="U159" s="103"/>
      <c r="V159" s="103"/>
      <c r="W159" s="103"/>
      <c r="X159" s="103"/>
      <c r="Y159" s="103"/>
      <c r="Z159" s="103"/>
      <c r="AA159" s="103"/>
    </row>
    <row r="160" spans="7:27" x14ac:dyDescent="0.2">
      <c r="G160" s="103"/>
      <c r="H160" s="103"/>
      <c r="I160" s="103"/>
      <c r="J160" s="103"/>
      <c r="K160" s="103"/>
      <c r="L160" s="103"/>
      <c r="M160" s="103"/>
      <c r="N160" s="103"/>
      <c r="O160" s="103"/>
      <c r="P160" s="103"/>
      <c r="Q160" s="103"/>
      <c r="R160" s="103"/>
      <c r="S160" s="103"/>
      <c r="T160" s="103"/>
      <c r="U160" s="103"/>
      <c r="V160" s="103"/>
      <c r="W160" s="103"/>
      <c r="X160" s="103"/>
      <c r="Y160" s="103"/>
      <c r="Z160" s="103"/>
      <c r="AA160" s="103"/>
    </row>
    <row r="161" spans="7:27" x14ac:dyDescent="0.2">
      <c r="G161" s="103"/>
      <c r="H161" s="103"/>
      <c r="I161" s="103"/>
      <c r="J161" s="103"/>
      <c r="K161" s="103"/>
      <c r="L161" s="103"/>
      <c r="M161" s="103"/>
      <c r="N161" s="103"/>
      <c r="O161" s="103"/>
      <c r="P161" s="103"/>
      <c r="Q161" s="103"/>
      <c r="R161" s="103"/>
      <c r="S161" s="103"/>
      <c r="T161" s="103"/>
      <c r="U161" s="103"/>
      <c r="V161" s="103"/>
      <c r="W161" s="103"/>
      <c r="X161" s="103"/>
      <c r="Y161" s="103"/>
      <c r="Z161" s="103"/>
      <c r="AA161" s="103"/>
    </row>
    <row r="162" spans="7:27" x14ac:dyDescent="0.2">
      <c r="G162" s="103"/>
      <c r="H162" s="103"/>
      <c r="I162" s="103"/>
      <c r="J162" s="103"/>
      <c r="K162" s="103"/>
      <c r="L162" s="103"/>
      <c r="M162" s="103"/>
      <c r="N162" s="103"/>
      <c r="O162" s="103"/>
      <c r="P162" s="103"/>
      <c r="Q162" s="103"/>
      <c r="R162" s="103"/>
      <c r="S162" s="103"/>
      <c r="T162" s="103"/>
      <c r="U162" s="103"/>
      <c r="V162" s="103"/>
      <c r="W162" s="103"/>
      <c r="X162" s="103"/>
      <c r="Y162" s="103"/>
      <c r="Z162" s="103"/>
      <c r="AA162" s="103"/>
    </row>
    <row r="163" spans="7:27" x14ac:dyDescent="0.2">
      <c r="G163" s="103"/>
      <c r="H163" s="103"/>
      <c r="I163" s="103"/>
      <c r="J163" s="103"/>
      <c r="K163" s="103"/>
      <c r="L163" s="103"/>
      <c r="M163" s="103"/>
      <c r="N163" s="103"/>
      <c r="O163" s="103"/>
      <c r="P163" s="103"/>
      <c r="Q163" s="103"/>
      <c r="R163" s="103"/>
      <c r="S163" s="103"/>
      <c r="T163" s="103"/>
      <c r="U163" s="103"/>
      <c r="V163" s="103"/>
      <c r="W163" s="103"/>
      <c r="X163" s="103"/>
      <c r="Y163" s="103"/>
      <c r="Z163" s="103"/>
      <c r="AA163" s="103"/>
    </row>
    <row r="164" spans="7:27" x14ac:dyDescent="0.2">
      <c r="G164" s="103"/>
      <c r="H164" s="103"/>
      <c r="I164" s="103"/>
      <c r="J164" s="103"/>
      <c r="K164" s="103"/>
      <c r="L164" s="103"/>
      <c r="M164" s="103"/>
      <c r="N164" s="103"/>
      <c r="O164" s="103"/>
      <c r="P164" s="103"/>
      <c r="Q164" s="103"/>
      <c r="R164" s="103"/>
      <c r="S164" s="103"/>
      <c r="T164" s="103"/>
      <c r="U164" s="103"/>
      <c r="V164" s="103"/>
      <c r="W164" s="103"/>
      <c r="X164" s="103"/>
      <c r="Y164" s="103"/>
      <c r="Z164" s="103"/>
      <c r="AA164" s="103"/>
    </row>
    <row r="165" spans="7:27" x14ac:dyDescent="0.2">
      <c r="G165" s="103"/>
      <c r="H165" s="103"/>
      <c r="I165" s="103"/>
      <c r="J165" s="103"/>
      <c r="K165" s="103"/>
      <c r="L165" s="103"/>
      <c r="M165" s="103"/>
      <c r="N165" s="103"/>
      <c r="O165" s="103"/>
      <c r="P165" s="103"/>
      <c r="Q165" s="103"/>
      <c r="R165" s="103"/>
      <c r="S165" s="103"/>
      <c r="T165" s="103"/>
      <c r="U165" s="103"/>
      <c r="V165" s="103"/>
      <c r="W165" s="103"/>
      <c r="X165" s="103"/>
      <c r="Y165" s="103"/>
      <c r="Z165" s="103"/>
      <c r="AA165" s="103"/>
    </row>
    <row r="166" spans="7:27" x14ac:dyDescent="0.2">
      <c r="G166" s="103"/>
      <c r="H166" s="103"/>
      <c r="I166" s="103"/>
      <c r="J166" s="103"/>
      <c r="K166" s="103"/>
      <c r="L166" s="103"/>
      <c r="M166" s="103"/>
      <c r="N166" s="103"/>
      <c r="O166" s="103"/>
      <c r="P166" s="103"/>
      <c r="Q166" s="103"/>
      <c r="R166" s="103"/>
      <c r="S166" s="103"/>
      <c r="T166" s="103"/>
      <c r="U166" s="103"/>
      <c r="V166" s="103"/>
      <c r="W166" s="103"/>
      <c r="X166" s="103"/>
      <c r="Y166" s="103"/>
      <c r="Z166" s="103"/>
      <c r="AA166" s="103"/>
    </row>
    <row r="167" spans="7:27" x14ac:dyDescent="0.2">
      <c r="G167" s="103"/>
      <c r="H167" s="103"/>
      <c r="I167" s="103"/>
      <c r="J167" s="103"/>
      <c r="K167" s="103"/>
      <c r="L167" s="103"/>
      <c r="M167" s="103"/>
      <c r="N167" s="103"/>
      <c r="O167" s="103"/>
      <c r="P167" s="103"/>
      <c r="Q167" s="103"/>
      <c r="R167" s="103"/>
      <c r="S167" s="103"/>
      <c r="T167" s="103"/>
      <c r="U167" s="103"/>
      <c r="V167" s="103"/>
      <c r="W167" s="103"/>
      <c r="X167" s="103"/>
      <c r="Y167" s="103"/>
      <c r="Z167" s="103"/>
      <c r="AA167" s="103"/>
    </row>
    <row r="168" spans="7:27" x14ac:dyDescent="0.2">
      <c r="G168" s="103"/>
      <c r="H168" s="103"/>
      <c r="I168" s="103"/>
      <c r="J168" s="103"/>
      <c r="K168" s="103"/>
      <c r="L168" s="103"/>
      <c r="M168" s="103"/>
      <c r="N168" s="103"/>
      <c r="O168" s="103"/>
      <c r="P168" s="103"/>
      <c r="Q168" s="103"/>
      <c r="R168" s="103"/>
      <c r="S168" s="103"/>
      <c r="T168" s="103"/>
      <c r="U168" s="103"/>
      <c r="V168" s="103"/>
      <c r="W168" s="103"/>
      <c r="X168" s="103"/>
      <c r="Y168" s="103"/>
      <c r="Z168" s="103"/>
      <c r="AA168" s="103"/>
    </row>
    <row r="169" spans="7:27" x14ac:dyDescent="0.2">
      <c r="G169" s="103"/>
      <c r="H169" s="103"/>
      <c r="I169" s="103"/>
      <c r="J169" s="103"/>
      <c r="K169" s="103"/>
      <c r="L169" s="103"/>
      <c r="M169" s="103"/>
      <c r="N169" s="103"/>
      <c r="O169" s="103"/>
      <c r="P169" s="103"/>
      <c r="Q169" s="103"/>
      <c r="R169" s="103"/>
      <c r="S169" s="103"/>
      <c r="T169" s="103"/>
      <c r="U169" s="103"/>
      <c r="V169" s="103"/>
      <c r="W169" s="103"/>
      <c r="X169" s="103"/>
      <c r="Y169" s="103"/>
      <c r="Z169" s="103"/>
      <c r="AA169" s="103"/>
    </row>
    <row r="170" spans="7:27" x14ac:dyDescent="0.2">
      <c r="G170" s="103"/>
      <c r="H170" s="103"/>
      <c r="I170" s="103"/>
      <c r="J170" s="103"/>
      <c r="K170" s="103"/>
      <c r="L170" s="103"/>
      <c r="M170" s="103"/>
      <c r="N170" s="103"/>
      <c r="O170" s="103"/>
      <c r="P170" s="103"/>
      <c r="Q170" s="103"/>
      <c r="R170" s="103"/>
      <c r="S170" s="103"/>
      <c r="T170" s="103"/>
      <c r="U170" s="103"/>
      <c r="V170" s="103"/>
      <c r="W170" s="103"/>
      <c r="X170" s="103"/>
      <c r="Y170" s="103"/>
      <c r="Z170" s="103"/>
      <c r="AA170" s="103"/>
    </row>
    <row r="171" spans="7:27" x14ac:dyDescent="0.2">
      <c r="G171" s="103"/>
      <c r="H171" s="103"/>
      <c r="I171" s="103"/>
      <c r="J171" s="103"/>
      <c r="K171" s="103"/>
      <c r="L171" s="103"/>
      <c r="M171" s="103"/>
      <c r="N171" s="103"/>
      <c r="O171" s="103"/>
      <c r="P171" s="103"/>
      <c r="Q171" s="103"/>
      <c r="R171" s="103"/>
      <c r="S171" s="103"/>
      <c r="T171" s="103"/>
      <c r="U171" s="103"/>
      <c r="V171" s="103"/>
      <c r="W171" s="103"/>
      <c r="X171" s="103"/>
      <c r="Y171" s="103"/>
      <c r="Z171" s="103"/>
      <c r="AA171" s="103"/>
    </row>
    <row r="172" spans="7:27" x14ac:dyDescent="0.2">
      <c r="G172" s="103"/>
      <c r="H172" s="103"/>
      <c r="I172" s="103"/>
      <c r="J172" s="103"/>
      <c r="K172" s="103"/>
      <c r="L172" s="103"/>
      <c r="M172" s="103"/>
      <c r="N172" s="103"/>
      <c r="O172" s="103"/>
      <c r="P172" s="103"/>
      <c r="Q172" s="103"/>
      <c r="R172" s="103"/>
      <c r="S172" s="103"/>
      <c r="T172" s="103"/>
      <c r="U172" s="103"/>
      <c r="V172" s="103"/>
      <c r="W172" s="103"/>
      <c r="X172" s="103"/>
      <c r="Y172" s="103"/>
      <c r="Z172" s="103"/>
      <c r="AA172" s="103"/>
    </row>
    <row r="173" spans="7:27" x14ac:dyDescent="0.2">
      <c r="G173" s="103"/>
      <c r="H173" s="103"/>
      <c r="I173" s="103"/>
      <c r="J173" s="103"/>
      <c r="K173" s="103"/>
      <c r="L173" s="103"/>
      <c r="M173" s="103"/>
      <c r="N173" s="103"/>
      <c r="O173" s="103"/>
      <c r="P173" s="103"/>
      <c r="Q173" s="103"/>
      <c r="R173" s="103"/>
      <c r="S173" s="103"/>
      <c r="T173" s="103"/>
      <c r="U173" s="103"/>
      <c r="V173" s="103"/>
      <c r="W173" s="103"/>
      <c r="X173" s="103"/>
      <c r="Y173" s="103"/>
      <c r="Z173" s="103"/>
      <c r="AA173" s="103"/>
    </row>
    <row r="174" spans="7:27" x14ac:dyDescent="0.2">
      <c r="G174" s="103"/>
      <c r="H174" s="103"/>
      <c r="I174" s="103"/>
      <c r="J174" s="103"/>
      <c r="K174" s="103"/>
      <c r="L174" s="103"/>
      <c r="M174" s="103"/>
      <c r="N174" s="103"/>
      <c r="O174" s="103"/>
      <c r="P174" s="103"/>
      <c r="Q174" s="103"/>
      <c r="R174" s="103"/>
      <c r="S174" s="103"/>
      <c r="T174" s="103"/>
      <c r="U174" s="103"/>
      <c r="V174" s="103"/>
      <c r="W174" s="103"/>
      <c r="X174" s="103"/>
      <c r="Y174" s="103"/>
      <c r="Z174" s="103"/>
      <c r="AA174" s="103"/>
    </row>
    <row r="175" spans="7:27" x14ac:dyDescent="0.2">
      <c r="G175" s="103"/>
      <c r="H175" s="103"/>
      <c r="I175" s="103"/>
      <c r="J175" s="103"/>
      <c r="K175" s="103"/>
      <c r="L175" s="103"/>
      <c r="M175" s="103"/>
      <c r="N175" s="103"/>
      <c r="O175" s="103"/>
      <c r="P175" s="103"/>
      <c r="Q175" s="103"/>
      <c r="R175" s="103"/>
      <c r="S175" s="103"/>
      <c r="T175" s="103"/>
      <c r="U175" s="103"/>
      <c r="V175" s="103"/>
      <c r="W175" s="103"/>
      <c r="X175" s="103"/>
      <c r="Y175" s="103"/>
      <c r="Z175" s="103"/>
      <c r="AA175" s="103"/>
    </row>
    <row r="176" spans="7:27" x14ac:dyDescent="0.2">
      <c r="G176" s="103"/>
      <c r="H176" s="103"/>
      <c r="I176" s="103"/>
      <c r="J176" s="103"/>
      <c r="K176" s="103"/>
      <c r="L176" s="103"/>
      <c r="M176" s="103"/>
      <c r="N176" s="103"/>
      <c r="O176" s="103"/>
      <c r="P176" s="103"/>
      <c r="Q176" s="103"/>
      <c r="R176" s="103"/>
      <c r="S176" s="103"/>
      <c r="T176" s="103"/>
      <c r="U176" s="103"/>
      <c r="V176" s="103"/>
      <c r="W176" s="103"/>
      <c r="X176" s="103"/>
      <c r="Y176" s="103"/>
      <c r="Z176" s="103"/>
      <c r="AA176" s="103"/>
    </row>
    <row r="177" spans="7:27" x14ac:dyDescent="0.2">
      <c r="G177" s="103"/>
      <c r="H177" s="103"/>
      <c r="I177" s="103"/>
      <c r="J177" s="103"/>
      <c r="K177" s="103"/>
      <c r="L177" s="103"/>
      <c r="M177" s="103"/>
      <c r="N177" s="103"/>
      <c r="O177" s="103"/>
      <c r="P177" s="103"/>
      <c r="Q177" s="103"/>
      <c r="R177" s="103"/>
      <c r="S177" s="103"/>
      <c r="T177" s="103"/>
      <c r="U177" s="103"/>
      <c r="V177" s="103"/>
      <c r="W177" s="103"/>
      <c r="X177" s="103"/>
      <c r="Y177" s="103"/>
      <c r="Z177" s="103"/>
      <c r="AA177" s="103"/>
    </row>
    <row r="178" spans="7:27" x14ac:dyDescent="0.2">
      <c r="G178" s="103"/>
      <c r="H178" s="103"/>
      <c r="I178" s="103"/>
      <c r="J178" s="103"/>
      <c r="K178" s="103"/>
      <c r="L178" s="103"/>
      <c r="M178" s="103"/>
      <c r="N178" s="103"/>
      <c r="O178" s="103"/>
      <c r="P178" s="103"/>
      <c r="Q178" s="103"/>
      <c r="R178" s="103"/>
      <c r="S178" s="103"/>
      <c r="T178" s="103"/>
      <c r="U178" s="103"/>
      <c r="V178" s="103"/>
      <c r="W178" s="103"/>
      <c r="X178" s="103"/>
      <c r="Y178" s="103"/>
      <c r="Z178" s="103"/>
      <c r="AA178" s="103"/>
    </row>
    <row r="179" spans="7:27" x14ac:dyDescent="0.2">
      <c r="G179" s="103"/>
      <c r="H179" s="103"/>
      <c r="I179" s="103"/>
      <c r="J179" s="103"/>
      <c r="K179" s="103"/>
      <c r="L179" s="103"/>
      <c r="M179" s="103"/>
      <c r="N179" s="103"/>
      <c r="O179" s="103"/>
      <c r="P179" s="103"/>
      <c r="Q179" s="103"/>
      <c r="R179" s="103"/>
      <c r="S179" s="103"/>
      <c r="T179" s="103"/>
      <c r="U179" s="103"/>
      <c r="V179" s="103"/>
      <c r="W179" s="103"/>
      <c r="X179" s="103"/>
      <c r="Y179" s="103"/>
      <c r="Z179" s="103"/>
      <c r="AA179" s="103"/>
    </row>
    <row r="180" spans="7:27" x14ac:dyDescent="0.2">
      <c r="G180" s="103"/>
      <c r="H180" s="103"/>
      <c r="I180" s="103"/>
      <c r="J180" s="103"/>
      <c r="K180" s="103"/>
      <c r="L180" s="103"/>
      <c r="M180" s="103"/>
      <c r="N180" s="103"/>
      <c r="O180" s="103"/>
      <c r="P180" s="103"/>
      <c r="Q180" s="103"/>
      <c r="R180" s="103"/>
      <c r="S180" s="103"/>
      <c r="T180" s="103"/>
      <c r="U180" s="103"/>
      <c r="V180" s="103"/>
      <c r="W180" s="103"/>
      <c r="X180" s="103"/>
      <c r="Y180" s="103"/>
      <c r="Z180" s="103"/>
      <c r="AA180" s="103"/>
    </row>
    <row r="181" spans="7:27" x14ac:dyDescent="0.2">
      <c r="G181" s="103"/>
      <c r="H181" s="103"/>
      <c r="I181" s="103"/>
      <c r="J181" s="103"/>
      <c r="K181" s="103"/>
      <c r="L181" s="103"/>
      <c r="M181" s="103"/>
      <c r="N181" s="103"/>
      <c r="O181" s="103"/>
      <c r="P181" s="103"/>
      <c r="Q181" s="103"/>
      <c r="R181" s="103"/>
      <c r="S181" s="103"/>
      <c r="T181" s="103"/>
      <c r="U181" s="103"/>
      <c r="V181" s="103"/>
      <c r="W181" s="103"/>
      <c r="X181" s="103"/>
      <c r="Y181" s="103"/>
      <c r="Z181" s="103"/>
      <c r="AA181" s="103"/>
    </row>
    <row r="182" spans="7:27" x14ac:dyDescent="0.2">
      <c r="G182" s="103"/>
      <c r="H182" s="103"/>
      <c r="I182" s="103"/>
      <c r="J182" s="103"/>
      <c r="K182" s="103"/>
      <c r="L182" s="103"/>
      <c r="M182" s="103"/>
      <c r="N182" s="103"/>
      <c r="O182" s="103"/>
      <c r="P182" s="103"/>
      <c r="Q182" s="103"/>
      <c r="R182" s="103"/>
      <c r="S182" s="103"/>
      <c r="T182" s="103"/>
      <c r="U182" s="103"/>
      <c r="V182" s="103"/>
      <c r="W182" s="103"/>
      <c r="X182" s="103"/>
      <c r="Y182" s="103"/>
      <c r="Z182" s="103"/>
      <c r="AA182" s="103"/>
    </row>
    <row r="183" spans="7:27" x14ac:dyDescent="0.2">
      <c r="G183" s="103"/>
      <c r="H183" s="103"/>
      <c r="I183" s="103"/>
      <c r="J183" s="103"/>
      <c r="K183" s="103"/>
      <c r="L183" s="103"/>
      <c r="M183" s="103"/>
      <c r="N183" s="103"/>
      <c r="O183" s="103"/>
      <c r="P183" s="103"/>
      <c r="Q183" s="103"/>
      <c r="R183" s="103"/>
      <c r="S183" s="103"/>
      <c r="T183" s="103"/>
      <c r="U183" s="103"/>
      <c r="V183" s="103"/>
      <c r="W183" s="103"/>
      <c r="X183" s="103"/>
      <c r="Y183" s="103"/>
      <c r="Z183" s="103"/>
      <c r="AA183" s="103"/>
    </row>
    <row r="184" spans="7:27" x14ac:dyDescent="0.2">
      <c r="G184" s="103"/>
      <c r="H184" s="103"/>
      <c r="I184" s="103"/>
      <c r="J184" s="103"/>
      <c r="K184" s="103"/>
      <c r="L184" s="103"/>
      <c r="M184" s="103"/>
      <c r="N184" s="103"/>
      <c r="O184" s="103"/>
      <c r="P184" s="103"/>
      <c r="Q184" s="103"/>
      <c r="R184" s="103"/>
      <c r="S184" s="103"/>
      <c r="T184" s="103"/>
      <c r="U184" s="103"/>
      <c r="V184" s="103"/>
      <c r="W184" s="103"/>
      <c r="X184" s="103"/>
      <c r="Y184" s="103"/>
      <c r="Z184" s="103"/>
      <c r="AA184" s="103"/>
    </row>
    <row r="185" spans="7:27" x14ac:dyDescent="0.2">
      <c r="G185" s="103"/>
      <c r="H185" s="103"/>
      <c r="I185" s="103"/>
      <c r="J185" s="103"/>
      <c r="K185" s="103"/>
      <c r="L185" s="103"/>
      <c r="M185" s="103"/>
      <c r="N185" s="103"/>
      <c r="O185" s="103"/>
      <c r="P185" s="103"/>
      <c r="Q185" s="103"/>
      <c r="R185" s="103"/>
      <c r="S185" s="103"/>
      <c r="T185" s="103"/>
      <c r="U185" s="103"/>
      <c r="V185" s="103"/>
      <c r="W185" s="103"/>
      <c r="X185" s="103"/>
      <c r="Y185" s="103"/>
      <c r="Z185" s="103"/>
      <c r="AA185" s="103"/>
    </row>
    <row r="186" spans="7:27" x14ac:dyDescent="0.2">
      <c r="G186" s="103"/>
      <c r="H186" s="103"/>
      <c r="I186" s="103"/>
      <c r="J186" s="103"/>
      <c r="K186" s="103"/>
      <c r="L186" s="103"/>
      <c r="M186" s="103"/>
      <c r="N186" s="103"/>
      <c r="O186" s="103"/>
      <c r="P186" s="103"/>
      <c r="Q186" s="103"/>
      <c r="R186" s="103"/>
      <c r="S186" s="103"/>
      <c r="T186" s="103"/>
      <c r="U186" s="103"/>
      <c r="V186" s="103"/>
      <c r="W186" s="103"/>
      <c r="X186" s="103"/>
      <c r="Y186" s="103"/>
      <c r="Z186" s="103"/>
      <c r="AA186" s="103"/>
    </row>
    <row r="187" spans="7:27" x14ac:dyDescent="0.2">
      <c r="G187" s="103"/>
      <c r="H187" s="103"/>
      <c r="I187" s="103"/>
      <c r="J187" s="103"/>
      <c r="K187" s="103"/>
      <c r="L187" s="103"/>
      <c r="M187" s="103"/>
      <c r="N187" s="103"/>
      <c r="O187" s="103"/>
      <c r="P187" s="103"/>
      <c r="Q187" s="103"/>
      <c r="R187" s="103"/>
      <c r="S187" s="103"/>
      <c r="T187" s="103"/>
      <c r="U187" s="103"/>
      <c r="V187" s="103"/>
      <c r="W187" s="103"/>
      <c r="X187" s="103"/>
      <c r="Y187" s="103"/>
      <c r="Z187" s="103"/>
      <c r="AA187" s="103"/>
    </row>
    <row r="188" spans="7:27" x14ac:dyDescent="0.2">
      <c r="G188" s="103"/>
      <c r="H188" s="103"/>
      <c r="I188" s="103"/>
      <c r="J188" s="103"/>
      <c r="K188" s="103"/>
      <c r="L188" s="103"/>
      <c r="M188" s="103"/>
      <c r="N188" s="103"/>
      <c r="O188" s="103"/>
      <c r="P188" s="103"/>
      <c r="Q188" s="103"/>
      <c r="R188" s="103"/>
      <c r="S188" s="103"/>
      <c r="T188" s="103"/>
      <c r="U188" s="103"/>
      <c r="V188" s="103"/>
      <c r="W188" s="103"/>
      <c r="X188" s="103"/>
      <c r="Y188" s="103"/>
      <c r="Z188" s="103"/>
      <c r="AA188" s="103"/>
    </row>
    <row r="189" spans="7:27" x14ac:dyDescent="0.2">
      <c r="G189" s="103"/>
      <c r="H189" s="103"/>
      <c r="I189" s="103"/>
      <c r="J189" s="103"/>
      <c r="K189" s="103"/>
      <c r="L189" s="103"/>
      <c r="M189" s="103"/>
      <c r="N189" s="103"/>
      <c r="O189" s="103"/>
      <c r="P189" s="103"/>
      <c r="Q189" s="103"/>
      <c r="R189" s="103"/>
      <c r="S189" s="103"/>
      <c r="T189" s="103"/>
      <c r="U189" s="103"/>
      <c r="V189" s="103"/>
      <c r="W189" s="103"/>
      <c r="X189" s="103"/>
      <c r="Y189" s="103"/>
      <c r="Z189" s="103"/>
      <c r="AA189" s="103"/>
    </row>
    <row r="190" spans="7:27" x14ac:dyDescent="0.2">
      <c r="G190" s="103"/>
      <c r="H190" s="103"/>
      <c r="I190" s="103"/>
      <c r="J190" s="103"/>
      <c r="K190" s="103"/>
      <c r="L190" s="103"/>
      <c r="M190" s="103"/>
      <c r="N190" s="103"/>
      <c r="O190" s="103"/>
      <c r="P190" s="103"/>
      <c r="Q190" s="103"/>
      <c r="R190" s="103"/>
      <c r="S190" s="103"/>
      <c r="T190" s="103"/>
      <c r="U190" s="103"/>
      <c r="V190" s="103"/>
      <c r="W190" s="103"/>
      <c r="X190" s="103"/>
      <c r="Y190" s="103"/>
      <c r="Z190" s="103"/>
      <c r="AA190" s="103"/>
    </row>
    <row r="191" spans="7:27" x14ac:dyDescent="0.2">
      <c r="G191" s="103"/>
      <c r="H191" s="103"/>
      <c r="I191" s="103"/>
      <c r="J191" s="103"/>
      <c r="K191" s="103"/>
      <c r="L191" s="103"/>
      <c r="M191" s="103"/>
      <c r="N191" s="103"/>
      <c r="O191" s="103"/>
      <c r="P191" s="103"/>
      <c r="Q191" s="103"/>
      <c r="R191" s="103"/>
      <c r="S191" s="103"/>
      <c r="T191" s="103"/>
      <c r="U191" s="103"/>
      <c r="V191" s="103"/>
      <c r="W191" s="103"/>
      <c r="X191" s="103"/>
      <c r="Y191" s="103"/>
      <c r="Z191" s="103"/>
      <c r="AA191" s="103"/>
    </row>
    <row r="192" spans="7:27" x14ac:dyDescent="0.2">
      <c r="G192" s="103"/>
      <c r="H192" s="103"/>
      <c r="I192" s="103"/>
      <c r="J192" s="103"/>
      <c r="K192" s="103"/>
      <c r="L192" s="103"/>
      <c r="M192" s="103"/>
      <c r="N192" s="103"/>
      <c r="O192" s="103"/>
      <c r="P192" s="103"/>
      <c r="Q192" s="103"/>
      <c r="R192" s="103"/>
      <c r="S192" s="103"/>
      <c r="T192" s="103"/>
      <c r="U192" s="103"/>
      <c r="V192" s="103"/>
      <c r="W192" s="103"/>
      <c r="X192" s="103"/>
      <c r="Y192" s="103"/>
      <c r="Z192" s="103"/>
      <c r="AA192" s="103"/>
    </row>
    <row r="193" spans="7:27" x14ac:dyDescent="0.2">
      <c r="G193" s="103"/>
      <c r="H193" s="103"/>
      <c r="I193" s="103"/>
      <c r="J193" s="103"/>
      <c r="K193" s="103"/>
      <c r="L193" s="103"/>
      <c r="M193" s="103"/>
      <c r="N193" s="103"/>
      <c r="O193" s="103"/>
      <c r="P193" s="103"/>
      <c r="Q193" s="103"/>
      <c r="R193" s="103"/>
      <c r="S193" s="103"/>
      <c r="T193" s="103"/>
      <c r="U193" s="103"/>
      <c r="V193" s="103"/>
      <c r="W193" s="103"/>
      <c r="X193" s="103"/>
      <c r="Y193" s="103"/>
      <c r="Z193" s="103"/>
      <c r="AA193" s="103"/>
    </row>
    <row r="194" spans="7:27" x14ac:dyDescent="0.2">
      <c r="G194" s="103"/>
      <c r="H194" s="103"/>
      <c r="I194" s="103"/>
      <c r="J194" s="103"/>
      <c r="K194" s="103"/>
      <c r="L194" s="103"/>
      <c r="M194" s="103"/>
      <c r="N194" s="103"/>
      <c r="O194" s="103"/>
      <c r="P194" s="103"/>
      <c r="Q194" s="103"/>
      <c r="R194" s="103"/>
      <c r="S194" s="103"/>
      <c r="T194" s="103"/>
      <c r="U194" s="103"/>
      <c r="V194" s="103"/>
      <c r="W194" s="103"/>
      <c r="X194" s="103"/>
      <c r="Y194" s="103"/>
      <c r="Z194" s="103"/>
      <c r="AA194" s="103"/>
    </row>
    <row r="195" spans="7:27" x14ac:dyDescent="0.2">
      <c r="G195" s="103"/>
      <c r="H195" s="103"/>
      <c r="I195" s="103"/>
      <c r="J195" s="103"/>
      <c r="K195" s="103"/>
      <c r="L195" s="103"/>
      <c r="M195" s="103"/>
      <c r="N195" s="103"/>
      <c r="O195" s="103"/>
      <c r="P195" s="103"/>
      <c r="Q195" s="103"/>
      <c r="R195" s="103"/>
      <c r="S195" s="103"/>
      <c r="T195" s="103"/>
      <c r="U195" s="103"/>
      <c r="V195" s="103"/>
      <c r="W195" s="103"/>
      <c r="X195" s="103"/>
      <c r="Y195" s="103"/>
      <c r="Z195" s="103"/>
      <c r="AA195" s="103"/>
    </row>
    <row r="196" spans="7:27" x14ac:dyDescent="0.2">
      <c r="G196" s="103"/>
      <c r="H196" s="103"/>
      <c r="I196" s="103"/>
      <c r="J196" s="103"/>
      <c r="K196" s="103"/>
      <c r="L196" s="103"/>
      <c r="M196" s="103"/>
      <c r="N196" s="103"/>
      <c r="O196" s="103"/>
      <c r="P196" s="103"/>
      <c r="Q196" s="103"/>
      <c r="R196" s="103"/>
      <c r="S196" s="103"/>
      <c r="T196" s="103"/>
      <c r="U196" s="103"/>
      <c r="V196" s="103"/>
      <c r="W196" s="103"/>
      <c r="X196" s="103"/>
      <c r="Y196" s="103"/>
      <c r="Z196" s="103"/>
      <c r="AA196" s="103"/>
    </row>
    <row r="197" spans="7:27" x14ac:dyDescent="0.2">
      <c r="G197" s="103"/>
      <c r="H197" s="103"/>
      <c r="I197" s="103"/>
      <c r="J197" s="103"/>
      <c r="K197" s="103"/>
      <c r="L197" s="103"/>
      <c r="M197" s="103"/>
      <c r="N197" s="103"/>
      <c r="O197" s="103"/>
      <c r="P197" s="103"/>
      <c r="Q197" s="103"/>
      <c r="R197" s="103"/>
      <c r="S197" s="103"/>
      <c r="T197" s="103"/>
      <c r="U197" s="103"/>
      <c r="V197" s="103"/>
      <c r="W197" s="103"/>
      <c r="X197" s="103"/>
      <c r="Y197" s="103"/>
      <c r="Z197" s="103"/>
      <c r="AA197" s="103"/>
    </row>
    <row r="198" spans="7:27" x14ac:dyDescent="0.2">
      <c r="G198" s="103"/>
      <c r="H198" s="103"/>
      <c r="I198" s="103"/>
      <c r="J198" s="103"/>
      <c r="K198" s="103"/>
      <c r="L198" s="103"/>
      <c r="M198" s="103"/>
      <c r="N198" s="103"/>
      <c r="O198" s="103"/>
      <c r="P198" s="103"/>
      <c r="Q198" s="103"/>
      <c r="R198" s="103"/>
      <c r="S198" s="103"/>
      <c r="T198" s="103"/>
      <c r="U198" s="103"/>
      <c r="V198" s="103"/>
      <c r="W198" s="103"/>
      <c r="X198" s="103"/>
      <c r="Y198" s="103"/>
      <c r="Z198" s="103"/>
      <c r="AA198" s="103"/>
    </row>
    <row r="199" spans="7:27" x14ac:dyDescent="0.2">
      <c r="G199" s="103"/>
      <c r="H199" s="103"/>
      <c r="I199" s="103"/>
      <c r="J199" s="103"/>
      <c r="K199" s="103"/>
      <c r="L199" s="103"/>
      <c r="M199" s="103"/>
      <c r="N199" s="103"/>
      <c r="O199" s="103"/>
      <c r="P199" s="103"/>
      <c r="Q199" s="103"/>
      <c r="R199" s="103"/>
      <c r="S199" s="103"/>
      <c r="T199" s="103"/>
      <c r="U199" s="103"/>
      <c r="V199" s="103"/>
      <c r="W199" s="103"/>
      <c r="X199" s="103"/>
      <c r="Y199" s="103"/>
      <c r="Z199" s="103"/>
      <c r="AA199" s="103"/>
    </row>
    <row r="200" spans="7:27" x14ac:dyDescent="0.2">
      <c r="G200" s="103"/>
      <c r="H200" s="103"/>
      <c r="I200" s="103"/>
      <c r="J200" s="103"/>
      <c r="K200" s="103"/>
      <c r="L200" s="103"/>
      <c r="M200" s="103"/>
      <c r="N200" s="103"/>
      <c r="O200" s="103"/>
      <c r="P200" s="103"/>
      <c r="Q200" s="103"/>
      <c r="R200" s="103"/>
      <c r="S200" s="103"/>
      <c r="T200" s="103"/>
      <c r="U200" s="103"/>
      <c r="V200" s="103"/>
      <c r="W200" s="103"/>
      <c r="X200" s="103"/>
      <c r="Y200" s="103"/>
      <c r="Z200" s="103"/>
      <c r="AA200" s="103"/>
    </row>
    <row r="201" spans="7:27" x14ac:dyDescent="0.2">
      <c r="G201" s="103"/>
      <c r="H201" s="103"/>
      <c r="I201" s="103"/>
      <c r="J201" s="103"/>
      <c r="K201" s="103"/>
      <c r="L201" s="103"/>
      <c r="M201" s="103"/>
      <c r="N201" s="103"/>
      <c r="O201" s="103"/>
      <c r="P201" s="103"/>
      <c r="Q201" s="103"/>
      <c r="R201" s="103"/>
      <c r="S201" s="103"/>
      <c r="T201" s="103"/>
      <c r="U201" s="103"/>
      <c r="V201" s="103"/>
      <c r="W201" s="103"/>
      <c r="X201" s="103"/>
      <c r="Y201" s="103"/>
      <c r="Z201" s="103"/>
      <c r="AA201" s="103"/>
    </row>
    <row r="202" spans="7:27" x14ac:dyDescent="0.2">
      <c r="G202" s="103"/>
      <c r="H202" s="103"/>
      <c r="I202" s="103"/>
      <c r="J202" s="103"/>
      <c r="K202" s="103"/>
      <c r="L202" s="103"/>
      <c r="M202" s="103"/>
      <c r="N202" s="103"/>
      <c r="O202" s="103"/>
      <c r="P202" s="103"/>
      <c r="Q202" s="103"/>
      <c r="R202" s="103"/>
      <c r="S202" s="103"/>
      <c r="T202" s="103"/>
      <c r="U202" s="103"/>
      <c r="V202" s="103"/>
      <c r="W202" s="103"/>
      <c r="X202" s="103"/>
      <c r="Y202" s="103"/>
      <c r="Z202" s="103"/>
      <c r="AA202" s="103"/>
    </row>
    <row r="203" spans="7:27" x14ac:dyDescent="0.2">
      <c r="G203" s="103"/>
      <c r="H203" s="103"/>
      <c r="I203" s="103"/>
      <c r="J203" s="103"/>
      <c r="K203" s="103"/>
      <c r="L203" s="103"/>
      <c r="M203" s="103"/>
      <c r="N203" s="103"/>
      <c r="O203" s="103"/>
      <c r="P203" s="103"/>
      <c r="Q203" s="103"/>
      <c r="R203" s="103"/>
      <c r="S203" s="103"/>
      <c r="T203" s="103"/>
      <c r="U203" s="103"/>
      <c r="V203" s="103"/>
      <c r="W203" s="103"/>
      <c r="X203" s="103"/>
      <c r="Y203" s="103"/>
      <c r="Z203" s="103"/>
      <c r="AA203" s="103"/>
    </row>
    <row r="204" spans="7:27" x14ac:dyDescent="0.2">
      <c r="G204" s="103"/>
      <c r="H204" s="103"/>
      <c r="I204" s="103"/>
      <c r="J204" s="103"/>
      <c r="K204" s="103"/>
      <c r="L204" s="103"/>
      <c r="M204" s="103"/>
      <c r="N204" s="103"/>
      <c r="O204" s="103"/>
      <c r="P204" s="103"/>
      <c r="Q204" s="103"/>
      <c r="R204" s="103"/>
      <c r="S204" s="103"/>
      <c r="T204" s="103"/>
      <c r="U204" s="103"/>
      <c r="V204" s="103"/>
      <c r="W204" s="103"/>
      <c r="X204" s="103"/>
      <c r="Y204" s="103"/>
      <c r="Z204" s="103"/>
      <c r="AA204" s="103"/>
    </row>
    <row r="205" spans="7:27" x14ac:dyDescent="0.2">
      <c r="G205" s="103"/>
      <c r="H205" s="103"/>
      <c r="I205" s="103"/>
      <c r="J205" s="103"/>
      <c r="K205" s="103"/>
      <c r="L205" s="103"/>
      <c r="M205" s="103"/>
      <c r="N205" s="103"/>
      <c r="O205" s="103"/>
      <c r="P205" s="103"/>
      <c r="Q205" s="103"/>
      <c r="R205" s="103"/>
      <c r="S205" s="103"/>
      <c r="T205" s="103"/>
      <c r="U205" s="103"/>
      <c r="V205" s="103"/>
      <c r="W205" s="103"/>
      <c r="X205" s="103"/>
      <c r="Y205" s="103"/>
      <c r="Z205" s="103"/>
      <c r="AA205" s="103"/>
    </row>
    <row r="206" spans="7:27" x14ac:dyDescent="0.2">
      <c r="G206" s="103"/>
      <c r="H206" s="103"/>
      <c r="I206" s="103"/>
      <c r="J206" s="103"/>
      <c r="K206" s="103"/>
      <c r="L206" s="103"/>
      <c r="M206" s="103"/>
      <c r="N206" s="103"/>
      <c r="O206" s="103"/>
      <c r="P206" s="103"/>
      <c r="Q206" s="103"/>
      <c r="R206" s="103"/>
      <c r="S206" s="103"/>
      <c r="T206" s="103"/>
      <c r="U206" s="103"/>
      <c r="V206" s="103"/>
      <c r="W206" s="103"/>
      <c r="X206" s="103"/>
      <c r="Y206" s="103"/>
      <c r="Z206" s="103"/>
      <c r="AA206" s="103"/>
    </row>
    <row r="207" spans="7:27" x14ac:dyDescent="0.2">
      <c r="G207" s="103"/>
      <c r="H207" s="103"/>
      <c r="I207" s="103"/>
      <c r="J207" s="103"/>
      <c r="K207" s="103"/>
      <c r="L207" s="103"/>
      <c r="M207" s="103"/>
      <c r="N207" s="103"/>
      <c r="O207" s="103"/>
      <c r="P207" s="103"/>
      <c r="Q207" s="103"/>
      <c r="R207" s="103"/>
      <c r="S207" s="103"/>
      <c r="T207" s="103"/>
      <c r="U207" s="103"/>
      <c r="V207" s="103"/>
      <c r="W207" s="103"/>
      <c r="X207" s="103"/>
      <c r="Y207" s="103"/>
      <c r="Z207" s="103"/>
      <c r="AA207" s="103"/>
    </row>
    <row r="208" spans="7:27" x14ac:dyDescent="0.2">
      <c r="G208" s="103"/>
      <c r="H208" s="103"/>
      <c r="I208" s="103"/>
      <c r="J208" s="103"/>
      <c r="K208" s="103"/>
      <c r="L208" s="103"/>
      <c r="M208" s="103"/>
      <c r="N208" s="103"/>
      <c r="O208" s="103"/>
      <c r="P208" s="103"/>
      <c r="Q208" s="103"/>
      <c r="R208" s="103"/>
      <c r="S208" s="103"/>
      <c r="T208" s="103"/>
      <c r="U208" s="103"/>
      <c r="V208" s="103"/>
      <c r="W208" s="103"/>
      <c r="X208" s="103"/>
      <c r="Y208" s="103"/>
      <c r="Z208" s="103"/>
      <c r="AA208" s="103"/>
    </row>
    <row r="209" spans="7:27" x14ac:dyDescent="0.2">
      <c r="G209" s="103"/>
      <c r="H209" s="103"/>
      <c r="I209" s="103"/>
      <c r="J209" s="103"/>
      <c r="K209" s="103"/>
      <c r="L209" s="103"/>
      <c r="M209" s="103"/>
      <c r="N209" s="103"/>
      <c r="O209" s="103"/>
      <c r="P209" s="103"/>
      <c r="Q209" s="103"/>
      <c r="R209" s="103"/>
      <c r="S209" s="103"/>
      <c r="T209" s="103"/>
      <c r="U209" s="103"/>
      <c r="V209" s="103"/>
      <c r="W209" s="103"/>
      <c r="X209" s="103"/>
      <c r="Y209" s="103"/>
      <c r="Z209" s="103"/>
      <c r="AA209" s="103"/>
    </row>
    <row r="210" spans="7:27" x14ac:dyDescent="0.2">
      <c r="G210" s="103"/>
      <c r="H210" s="103"/>
      <c r="I210" s="103"/>
      <c r="J210" s="103"/>
      <c r="K210" s="103"/>
      <c r="L210" s="103"/>
      <c r="M210" s="103"/>
      <c r="N210" s="103"/>
      <c r="O210" s="103"/>
      <c r="P210" s="103"/>
      <c r="Q210" s="103"/>
      <c r="R210" s="103"/>
      <c r="S210" s="103"/>
      <c r="T210" s="103"/>
      <c r="U210" s="103"/>
      <c r="V210" s="103"/>
      <c r="W210" s="103"/>
      <c r="X210" s="103"/>
      <c r="Y210" s="103"/>
      <c r="Z210" s="103"/>
      <c r="AA210" s="103"/>
    </row>
    <row r="211" spans="7:27" x14ac:dyDescent="0.2">
      <c r="G211" s="103"/>
      <c r="H211" s="103"/>
      <c r="I211" s="103"/>
      <c r="J211" s="103"/>
      <c r="K211" s="103"/>
      <c r="L211" s="103"/>
      <c r="M211" s="103"/>
      <c r="N211" s="103"/>
      <c r="O211" s="103"/>
      <c r="P211" s="103"/>
      <c r="Q211" s="103"/>
      <c r="R211" s="103"/>
      <c r="S211" s="103"/>
      <c r="T211" s="103"/>
      <c r="U211" s="103"/>
      <c r="V211" s="103"/>
      <c r="W211" s="103"/>
      <c r="X211" s="103"/>
      <c r="Y211" s="103"/>
      <c r="Z211" s="103"/>
      <c r="AA211" s="103"/>
    </row>
    <row r="212" spans="7:27" x14ac:dyDescent="0.2">
      <c r="G212" s="103"/>
      <c r="H212" s="103"/>
      <c r="I212" s="103"/>
      <c r="J212" s="103"/>
      <c r="K212" s="103"/>
      <c r="L212" s="103"/>
      <c r="M212" s="103"/>
      <c r="N212" s="103"/>
      <c r="O212" s="103"/>
      <c r="P212" s="103"/>
      <c r="Q212" s="103"/>
      <c r="R212" s="103"/>
      <c r="S212" s="103"/>
      <c r="T212" s="103"/>
      <c r="U212" s="103"/>
      <c r="V212" s="103"/>
      <c r="W212" s="103"/>
      <c r="X212" s="103"/>
      <c r="Y212" s="103"/>
      <c r="Z212" s="103"/>
      <c r="AA212" s="103"/>
    </row>
    <row r="213" spans="7:27" x14ac:dyDescent="0.2">
      <c r="G213" s="103"/>
      <c r="H213" s="103"/>
      <c r="I213" s="103"/>
      <c r="J213" s="103"/>
      <c r="K213" s="103"/>
      <c r="L213" s="103"/>
      <c r="M213" s="103"/>
      <c r="N213" s="103"/>
      <c r="O213" s="103"/>
      <c r="P213" s="103"/>
      <c r="Q213" s="103"/>
      <c r="R213" s="103"/>
      <c r="S213" s="103"/>
      <c r="T213" s="103"/>
      <c r="U213" s="103"/>
      <c r="V213" s="103"/>
      <c r="W213" s="103"/>
      <c r="X213" s="103"/>
      <c r="Y213" s="103"/>
      <c r="Z213" s="103"/>
      <c r="AA213" s="103"/>
    </row>
    <row r="214" spans="7:27" x14ac:dyDescent="0.2">
      <c r="G214" s="103"/>
      <c r="H214" s="103"/>
      <c r="I214" s="103"/>
      <c r="J214" s="103"/>
      <c r="K214" s="103"/>
      <c r="L214" s="103"/>
      <c r="M214" s="103"/>
      <c r="N214" s="103"/>
      <c r="O214" s="103"/>
      <c r="P214" s="103"/>
      <c r="Q214" s="103"/>
      <c r="R214" s="103"/>
      <c r="S214" s="103"/>
      <c r="T214" s="103"/>
      <c r="U214" s="103"/>
      <c r="V214" s="103"/>
      <c r="W214" s="103"/>
      <c r="X214" s="103"/>
      <c r="Y214" s="103"/>
      <c r="Z214" s="103"/>
      <c r="AA214" s="103"/>
    </row>
    <row r="215" spans="7:27" x14ac:dyDescent="0.2">
      <c r="G215" s="103"/>
      <c r="H215" s="103"/>
      <c r="I215" s="103"/>
      <c r="J215" s="103"/>
      <c r="K215" s="103"/>
      <c r="L215" s="103"/>
      <c r="M215" s="103"/>
      <c r="N215" s="103"/>
      <c r="O215" s="103"/>
      <c r="P215" s="103"/>
      <c r="Q215" s="103"/>
      <c r="R215" s="103"/>
      <c r="S215" s="103"/>
      <c r="T215" s="103"/>
      <c r="U215" s="103"/>
      <c r="V215" s="103"/>
      <c r="W215" s="103"/>
      <c r="X215" s="103"/>
      <c r="Y215" s="103"/>
      <c r="Z215" s="103"/>
      <c r="AA215" s="103"/>
    </row>
    <row r="216" spans="7:27" x14ac:dyDescent="0.2">
      <c r="G216" s="103"/>
      <c r="H216" s="103"/>
      <c r="I216" s="103"/>
      <c r="J216" s="103"/>
      <c r="K216" s="103"/>
      <c r="L216" s="103"/>
      <c r="M216" s="103"/>
      <c r="N216" s="103"/>
      <c r="O216" s="103"/>
      <c r="P216" s="103"/>
      <c r="Q216" s="103"/>
      <c r="R216" s="103"/>
      <c r="S216" s="103"/>
      <c r="T216" s="103"/>
      <c r="U216" s="103"/>
      <c r="V216" s="103"/>
      <c r="W216" s="103"/>
      <c r="X216" s="103"/>
      <c r="Y216" s="103"/>
      <c r="Z216" s="103"/>
      <c r="AA216" s="103"/>
    </row>
    <row r="217" spans="7:27" x14ac:dyDescent="0.2">
      <c r="G217" s="103"/>
      <c r="H217" s="103"/>
      <c r="I217" s="103"/>
      <c r="J217" s="103"/>
      <c r="K217" s="103"/>
      <c r="L217" s="103"/>
      <c r="M217" s="103"/>
      <c r="N217" s="103"/>
      <c r="O217" s="103"/>
      <c r="P217" s="103"/>
      <c r="Q217" s="103"/>
      <c r="R217" s="103"/>
      <c r="S217" s="103"/>
      <c r="T217" s="103"/>
      <c r="U217" s="103"/>
      <c r="V217" s="103"/>
      <c r="W217" s="103"/>
      <c r="X217" s="103"/>
      <c r="Y217" s="103"/>
      <c r="Z217" s="103"/>
      <c r="AA217" s="103"/>
    </row>
    <row r="218" spans="7:27" x14ac:dyDescent="0.2">
      <c r="G218" s="103"/>
      <c r="H218" s="103"/>
      <c r="I218" s="103"/>
      <c r="J218" s="103"/>
      <c r="K218" s="103"/>
      <c r="L218" s="103"/>
      <c r="M218" s="103"/>
      <c r="N218" s="103"/>
      <c r="O218" s="103"/>
      <c r="P218" s="103"/>
      <c r="Q218" s="103"/>
      <c r="R218" s="103"/>
      <c r="S218" s="103"/>
      <c r="T218" s="103"/>
      <c r="U218" s="103"/>
      <c r="V218" s="103"/>
      <c r="W218" s="103"/>
      <c r="X218" s="103"/>
      <c r="Y218" s="103"/>
      <c r="Z218" s="103"/>
      <c r="AA218" s="103"/>
    </row>
    <row r="219" spans="7:27" x14ac:dyDescent="0.2">
      <c r="G219" s="103"/>
      <c r="H219" s="103"/>
      <c r="I219" s="103"/>
      <c r="J219" s="103"/>
      <c r="K219" s="103"/>
      <c r="L219" s="103"/>
      <c r="M219" s="103"/>
      <c r="N219" s="103"/>
      <c r="O219" s="103"/>
      <c r="P219" s="103"/>
      <c r="Q219" s="103"/>
      <c r="R219" s="103"/>
      <c r="S219" s="103"/>
      <c r="T219" s="103"/>
      <c r="U219" s="103"/>
      <c r="V219" s="103"/>
      <c r="W219" s="103"/>
      <c r="X219" s="103"/>
      <c r="Y219" s="103"/>
      <c r="Z219" s="103"/>
      <c r="AA219" s="103"/>
    </row>
    <row r="220" spans="7:27" x14ac:dyDescent="0.2">
      <c r="G220" s="103"/>
      <c r="H220" s="103"/>
      <c r="I220" s="103"/>
      <c r="J220" s="103"/>
      <c r="K220" s="103"/>
      <c r="L220" s="103"/>
      <c r="M220" s="103"/>
      <c r="N220" s="103"/>
      <c r="O220" s="103"/>
      <c r="P220" s="103"/>
      <c r="Q220" s="103"/>
      <c r="R220" s="103"/>
      <c r="S220" s="103"/>
      <c r="T220" s="103"/>
      <c r="U220" s="103"/>
      <c r="V220" s="103"/>
      <c r="W220" s="103"/>
      <c r="X220" s="103"/>
      <c r="Y220" s="103"/>
      <c r="Z220" s="103"/>
      <c r="AA220" s="103"/>
    </row>
    <row r="221" spans="7:27" x14ac:dyDescent="0.2">
      <c r="G221" s="103"/>
      <c r="H221" s="103"/>
      <c r="I221" s="103"/>
      <c r="J221" s="103"/>
      <c r="K221" s="103"/>
      <c r="L221" s="103"/>
      <c r="M221" s="103"/>
      <c r="N221" s="103"/>
      <c r="O221" s="103"/>
      <c r="P221" s="103"/>
      <c r="Q221" s="103"/>
      <c r="R221" s="103"/>
      <c r="S221" s="103"/>
      <c r="T221" s="103"/>
      <c r="U221" s="103"/>
      <c r="V221" s="103"/>
      <c r="W221" s="103"/>
      <c r="X221" s="103"/>
      <c r="Y221" s="103"/>
      <c r="Z221" s="103"/>
      <c r="AA221" s="103"/>
    </row>
    <row r="222" spans="7:27" x14ac:dyDescent="0.2">
      <c r="G222" s="103"/>
      <c r="H222" s="103"/>
      <c r="I222" s="103"/>
      <c r="J222" s="103"/>
      <c r="K222" s="103"/>
      <c r="L222" s="103"/>
      <c r="M222" s="103"/>
      <c r="N222" s="103"/>
      <c r="O222" s="103"/>
      <c r="P222" s="103"/>
      <c r="Q222" s="103"/>
      <c r="R222" s="103"/>
      <c r="S222" s="103"/>
      <c r="T222" s="103"/>
      <c r="U222" s="103"/>
      <c r="V222" s="103"/>
      <c r="W222" s="103"/>
      <c r="X222" s="103"/>
      <c r="Y222" s="103"/>
      <c r="Z222" s="103"/>
      <c r="AA222" s="103"/>
    </row>
    <row r="223" spans="7:27" x14ac:dyDescent="0.2">
      <c r="G223" s="103"/>
      <c r="H223" s="103"/>
      <c r="I223" s="103"/>
      <c r="J223" s="103"/>
      <c r="K223" s="103"/>
      <c r="L223" s="103"/>
      <c r="M223" s="103"/>
      <c r="N223" s="103"/>
      <c r="O223" s="103"/>
      <c r="P223" s="103"/>
      <c r="Q223" s="103"/>
      <c r="R223" s="103"/>
      <c r="S223" s="103"/>
      <c r="T223" s="103"/>
      <c r="U223" s="103"/>
      <c r="V223" s="103"/>
      <c r="W223" s="103"/>
      <c r="X223" s="103"/>
      <c r="Y223" s="103"/>
      <c r="Z223" s="103"/>
      <c r="AA223" s="103"/>
    </row>
    <row r="224" spans="7:27" x14ac:dyDescent="0.2">
      <c r="G224" s="103"/>
      <c r="H224" s="103"/>
      <c r="I224" s="103"/>
      <c r="J224" s="103"/>
      <c r="K224" s="103"/>
      <c r="L224" s="103"/>
      <c r="M224" s="103"/>
      <c r="N224" s="103"/>
      <c r="O224" s="103"/>
      <c r="P224" s="103"/>
      <c r="Q224" s="103"/>
      <c r="R224" s="103"/>
      <c r="S224" s="103"/>
      <c r="T224" s="103"/>
      <c r="U224" s="103"/>
      <c r="V224" s="103"/>
      <c r="W224" s="103"/>
      <c r="X224" s="103"/>
      <c r="Y224" s="103"/>
      <c r="Z224" s="103"/>
      <c r="AA224" s="103"/>
    </row>
    <row r="225" spans="7:27" x14ac:dyDescent="0.2">
      <c r="G225" s="103"/>
      <c r="H225" s="103"/>
      <c r="I225" s="103"/>
      <c r="J225" s="103"/>
      <c r="K225" s="103"/>
      <c r="L225" s="103"/>
      <c r="M225" s="103"/>
      <c r="N225" s="103"/>
      <c r="O225" s="103"/>
      <c r="P225" s="103"/>
      <c r="Q225" s="103"/>
      <c r="R225" s="103"/>
      <c r="S225" s="103"/>
      <c r="T225" s="103"/>
      <c r="U225" s="103"/>
      <c r="V225" s="103"/>
      <c r="W225" s="103"/>
      <c r="X225" s="103"/>
      <c r="Y225" s="103"/>
      <c r="Z225" s="103"/>
      <c r="AA225" s="103"/>
    </row>
    <row r="226" spans="7:27" x14ac:dyDescent="0.2">
      <c r="G226" s="103"/>
      <c r="H226" s="103"/>
      <c r="I226" s="103"/>
      <c r="J226" s="103"/>
      <c r="K226" s="103"/>
      <c r="L226" s="103"/>
      <c r="M226" s="103"/>
      <c r="N226" s="103"/>
      <c r="O226" s="103"/>
      <c r="P226" s="103"/>
      <c r="Q226" s="103"/>
      <c r="R226" s="103"/>
      <c r="S226" s="103"/>
      <c r="T226" s="103"/>
      <c r="U226" s="103"/>
      <c r="V226" s="103"/>
      <c r="W226" s="103"/>
      <c r="X226" s="103"/>
      <c r="Y226" s="103"/>
      <c r="Z226" s="103"/>
      <c r="AA226" s="103"/>
    </row>
    <row r="227" spans="7:27" x14ac:dyDescent="0.2">
      <c r="G227" s="103"/>
      <c r="H227" s="103"/>
      <c r="I227" s="103"/>
      <c r="J227" s="103"/>
      <c r="K227" s="103"/>
      <c r="L227" s="103"/>
      <c r="M227" s="103"/>
      <c r="N227" s="103"/>
      <c r="O227" s="103"/>
      <c r="P227" s="103"/>
      <c r="Q227" s="103"/>
      <c r="R227" s="103"/>
      <c r="S227" s="103"/>
      <c r="T227" s="103"/>
      <c r="U227" s="103"/>
      <c r="V227" s="103"/>
      <c r="W227" s="103"/>
      <c r="X227" s="103"/>
      <c r="Y227" s="103"/>
      <c r="Z227" s="103"/>
      <c r="AA227" s="103"/>
    </row>
    <row r="228" spans="7:27" x14ac:dyDescent="0.2">
      <c r="G228" s="103"/>
      <c r="H228" s="103"/>
      <c r="I228" s="103"/>
      <c r="J228" s="103"/>
      <c r="K228" s="103"/>
      <c r="L228" s="103"/>
      <c r="M228" s="103"/>
      <c r="N228" s="103"/>
      <c r="O228" s="103"/>
      <c r="P228" s="103"/>
      <c r="Q228" s="103"/>
      <c r="R228" s="103"/>
      <c r="S228" s="103"/>
      <c r="T228" s="103"/>
      <c r="U228" s="103"/>
      <c r="V228" s="103"/>
      <c r="W228" s="103"/>
      <c r="X228" s="103"/>
      <c r="Y228" s="103"/>
      <c r="Z228" s="103"/>
      <c r="AA228" s="103"/>
    </row>
    <row r="229" spans="7:27" x14ac:dyDescent="0.2">
      <c r="G229" s="103"/>
      <c r="H229" s="103"/>
      <c r="I229" s="103"/>
      <c r="J229" s="103"/>
      <c r="K229" s="103"/>
      <c r="L229" s="103"/>
      <c r="M229" s="103"/>
      <c r="N229" s="103"/>
      <c r="O229" s="103"/>
      <c r="P229" s="103"/>
      <c r="Q229" s="103"/>
      <c r="R229" s="103"/>
      <c r="S229" s="103"/>
      <c r="T229" s="103"/>
      <c r="U229" s="103"/>
      <c r="V229" s="103"/>
      <c r="W229" s="103"/>
      <c r="X229" s="103"/>
      <c r="Y229" s="103"/>
      <c r="Z229" s="103"/>
      <c r="AA229" s="103"/>
    </row>
    <row r="230" spans="7:27" x14ac:dyDescent="0.2">
      <c r="G230" s="103"/>
      <c r="H230" s="103"/>
      <c r="I230" s="103"/>
      <c r="J230" s="103"/>
      <c r="K230" s="103"/>
      <c r="L230" s="103"/>
      <c r="M230" s="103"/>
      <c r="N230" s="103"/>
      <c r="O230" s="103"/>
      <c r="P230" s="103"/>
      <c r="Q230" s="103"/>
      <c r="R230" s="103"/>
      <c r="S230" s="103"/>
      <c r="T230" s="103"/>
      <c r="U230" s="103"/>
      <c r="V230" s="103"/>
      <c r="W230" s="103"/>
      <c r="X230" s="103"/>
      <c r="Y230" s="103"/>
      <c r="Z230" s="103"/>
      <c r="AA230" s="103"/>
    </row>
    <row r="231" spans="7:27" x14ac:dyDescent="0.2">
      <c r="G231" s="103"/>
      <c r="H231" s="103"/>
      <c r="I231" s="103"/>
      <c r="J231" s="103"/>
      <c r="K231" s="103"/>
      <c r="L231" s="103"/>
      <c r="M231" s="103"/>
      <c r="N231" s="103"/>
      <c r="O231" s="103"/>
      <c r="P231" s="103"/>
      <c r="Q231" s="103"/>
      <c r="R231" s="103"/>
      <c r="S231" s="103"/>
      <c r="T231" s="103"/>
      <c r="U231" s="103"/>
      <c r="V231" s="103"/>
      <c r="W231" s="103"/>
      <c r="X231" s="103"/>
      <c r="Y231" s="103"/>
      <c r="Z231" s="103"/>
      <c r="AA231" s="103"/>
    </row>
    <row r="232" spans="7:27" x14ac:dyDescent="0.2">
      <c r="G232" s="103"/>
      <c r="H232" s="103"/>
      <c r="I232" s="103"/>
      <c r="J232" s="103"/>
      <c r="K232" s="103"/>
      <c r="L232" s="103"/>
      <c r="M232" s="103"/>
      <c r="N232" s="103"/>
      <c r="O232" s="103"/>
      <c r="P232" s="103"/>
      <c r="Q232" s="103"/>
      <c r="R232" s="103"/>
      <c r="S232" s="103"/>
      <c r="T232" s="103"/>
      <c r="U232" s="103"/>
      <c r="V232" s="103"/>
      <c r="W232" s="103"/>
      <c r="X232" s="103"/>
      <c r="Y232" s="103"/>
      <c r="Z232" s="103"/>
      <c r="AA232" s="103"/>
    </row>
    <row r="233" spans="7:27" x14ac:dyDescent="0.2">
      <c r="G233" s="103"/>
      <c r="H233" s="103"/>
      <c r="I233" s="103"/>
      <c r="J233" s="103"/>
      <c r="K233" s="103"/>
      <c r="L233" s="103"/>
      <c r="M233" s="103"/>
      <c r="N233" s="103"/>
      <c r="O233" s="103"/>
      <c r="P233" s="103"/>
      <c r="Q233" s="103"/>
      <c r="R233" s="103"/>
      <c r="S233" s="103"/>
      <c r="T233" s="103"/>
      <c r="U233" s="103"/>
      <c r="V233" s="103"/>
      <c r="W233" s="103"/>
      <c r="X233" s="103"/>
      <c r="Y233" s="103"/>
      <c r="Z233" s="103"/>
      <c r="AA233" s="103"/>
    </row>
    <row r="234" spans="7:27" x14ac:dyDescent="0.2">
      <c r="G234" s="103"/>
      <c r="H234" s="103"/>
      <c r="I234" s="103"/>
      <c r="J234" s="103"/>
      <c r="K234" s="103"/>
      <c r="L234" s="103"/>
      <c r="M234" s="103"/>
      <c r="N234" s="103"/>
      <c r="O234" s="103"/>
      <c r="P234" s="103"/>
      <c r="Q234" s="103"/>
      <c r="R234" s="103"/>
      <c r="S234" s="103"/>
      <c r="T234" s="103"/>
      <c r="U234" s="103"/>
      <c r="V234" s="103"/>
      <c r="W234" s="103"/>
      <c r="X234" s="103"/>
      <c r="Y234" s="103"/>
      <c r="Z234" s="103"/>
      <c r="AA234" s="103"/>
    </row>
    <row r="235" spans="7:27" x14ac:dyDescent="0.2">
      <c r="G235" s="103"/>
      <c r="H235" s="103"/>
      <c r="I235" s="103"/>
      <c r="J235" s="103"/>
      <c r="K235" s="103"/>
      <c r="L235" s="103"/>
      <c r="M235" s="103"/>
      <c r="N235" s="103"/>
      <c r="O235" s="103"/>
      <c r="P235" s="103"/>
      <c r="Q235" s="103"/>
      <c r="R235" s="103"/>
      <c r="S235" s="103"/>
      <c r="T235" s="103"/>
      <c r="U235" s="103"/>
      <c r="V235" s="103"/>
      <c r="W235" s="103"/>
      <c r="X235" s="103"/>
      <c r="Y235" s="103"/>
      <c r="Z235" s="103"/>
      <c r="AA235" s="103"/>
    </row>
    <row r="236" spans="7:27" x14ac:dyDescent="0.2">
      <c r="G236" s="103"/>
      <c r="H236" s="103"/>
      <c r="I236" s="103"/>
      <c r="J236" s="103"/>
      <c r="K236" s="103"/>
      <c r="L236" s="103"/>
      <c r="M236" s="103"/>
      <c r="N236" s="103"/>
      <c r="O236" s="103"/>
      <c r="P236" s="103"/>
      <c r="Q236" s="103"/>
      <c r="R236" s="103"/>
      <c r="S236" s="103"/>
      <c r="T236" s="103"/>
      <c r="U236" s="103"/>
      <c r="V236" s="103"/>
      <c r="W236" s="103"/>
      <c r="X236" s="103"/>
      <c r="Y236" s="103"/>
      <c r="Z236" s="103"/>
      <c r="AA236" s="103"/>
    </row>
    <row r="237" spans="7:27" x14ac:dyDescent="0.2">
      <c r="G237" s="103"/>
      <c r="H237" s="103"/>
      <c r="I237" s="103"/>
      <c r="J237" s="103"/>
      <c r="K237" s="103"/>
      <c r="L237" s="103"/>
      <c r="M237" s="103"/>
      <c r="N237" s="103"/>
      <c r="O237" s="103"/>
      <c r="P237" s="103"/>
      <c r="Q237" s="103"/>
      <c r="R237" s="103"/>
      <c r="S237" s="103"/>
      <c r="T237" s="103"/>
      <c r="U237" s="103"/>
      <c r="V237" s="103"/>
      <c r="W237" s="103"/>
      <c r="X237" s="103"/>
      <c r="Y237" s="103"/>
      <c r="Z237" s="103"/>
      <c r="AA237" s="103"/>
    </row>
    <row r="238" spans="7:27" x14ac:dyDescent="0.2">
      <c r="G238" s="103"/>
      <c r="H238" s="103"/>
      <c r="I238" s="103"/>
      <c r="J238" s="103"/>
      <c r="K238" s="103"/>
      <c r="L238" s="103"/>
      <c r="M238" s="103"/>
      <c r="N238" s="103"/>
      <c r="O238" s="103"/>
      <c r="P238" s="103"/>
      <c r="Q238" s="103"/>
      <c r="R238" s="103"/>
      <c r="S238" s="103"/>
      <c r="T238" s="103"/>
      <c r="U238" s="103"/>
      <c r="V238" s="103"/>
      <c r="W238" s="103"/>
      <c r="X238" s="103"/>
      <c r="Y238" s="103"/>
      <c r="Z238" s="103"/>
      <c r="AA238" s="103"/>
    </row>
    <row r="239" spans="7:27" x14ac:dyDescent="0.2">
      <c r="G239" s="103"/>
      <c r="H239" s="103"/>
      <c r="I239" s="103"/>
      <c r="J239" s="103"/>
      <c r="K239" s="103"/>
      <c r="L239" s="103"/>
      <c r="M239" s="103"/>
      <c r="N239" s="103"/>
      <c r="O239" s="103"/>
      <c r="P239" s="103"/>
      <c r="Q239" s="103"/>
      <c r="R239" s="103"/>
      <c r="S239" s="103"/>
      <c r="T239" s="103"/>
      <c r="U239" s="103"/>
      <c r="V239" s="103"/>
      <c r="W239" s="103"/>
      <c r="X239" s="103"/>
      <c r="Y239" s="103"/>
      <c r="Z239" s="103"/>
      <c r="AA239" s="103"/>
    </row>
  </sheetData>
  <mergeCells count="3">
    <mergeCell ref="B1:T1"/>
    <mergeCell ref="B2:T2"/>
    <mergeCell ref="G5:T5"/>
  </mergeCells>
  <pageMargins left="0.70866141732283472" right="0.70866141732283472" top="0.74803149606299213" bottom="0.74803149606299213" header="0.31496062992125984" footer="0.31496062992125984"/>
  <pageSetup paperSize="9"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7"/>
  <sheetViews>
    <sheetView view="pageBreakPreview" topLeftCell="L1" zoomScaleNormal="100" zoomScaleSheetLayoutView="100" workbookViewId="0">
      <selection activeCell="T10" sqref="T10"/>
    </sheetView>
  </sheetViews>
  <sheetFormatPr defaultColWidth="8.88671875" defaultRowHeight="13.8" x14ac:dyDescent="0.3"/>
  <cols>
    <col min="1" max="1" width="1.6640625" style="19" customWidth="1"/>
    <col min="2" max="2" width="3" style="19" customWidth="1"/>
    <col min="3" max="4" width="1.88671875" style="19" customWidth="1"/>
    <col min="5" max="5" width="55.88671875" style="19" customWidth="1"/>
    <col min="6" max="6" width="4.6640625" style="50" customWidth="1"/>
    <col min="7" max="7" width="16.33203125" style="19" customWidth="1"/>
    <col min="8" max="8" width="15.6640625" style="19" customWidth="1"/>
    <col min="9" max="9" width="16.33203125" style="19" customWidth="1"/>
    <col min="10" max="10" width="14" style="19" customWidth="1"/>
    <col min="11" max="11" width="15.44140625" style="19" customWidth="1"/>
    <col min="12" max="14" width="15.6640625" style="19" customWidth="1"/>
    <col min="15" max="16" width="15.88671875" style="19" customWidth="1"/>
    <col min="17" max="17" width="15.6640625" style="19" customWidth="1"/>
    <col min="18" max="18" width="15.5546875" style="19" customWidth="1"/>
    <col min="19" max="19" width="16.6640625" style="19" customWidth="1"/>
    <col min="20" max="20" width="16.33203125" style="19" customWidth="1"/>
    <col min="21" max="21" width="3" style="19" customWidth="1"/>
    <col min="22" max="22" width="1.6640625" style="19" customWidth="1"/>
    <col min="23" max="23" width="16.44140625" style="19" hidden="1" customWidth="1"/>
    <col min="24" max="24" width="12.5546875" style="19" hidden="1" customWidth="1"/>
    <col min="25" max="25" width="9.88671875" style="19" customWidth="1"/>
    <col min="26" max="26" width="12.88671875" style="19" hidden="1" customWidth="1"/>
    <col min="27" max="27" width="12.5546875" style="19" bestFit="1" customWidth="1"/>
    <col min="28" max="28" width="8.88671875" style="19" hidden="1" customWidth="1"/>
    <col min="29" max="31" width="8.88671875" style="19" customWidth="1"/>
    <col min="32" max="256" width="8.88671875" style="19"/>
    <col min="257" max="257" width="1.6640625" style="19" customWidth="1"/>
    <col min="258" max="258" width="3" style="19" customWidth="1"/>
    <col min="259" max="260" width="1.88671875" style="19" customWidth="1"/>
    <col min="261" max="261" width="55.88671875" style="19" customWidth="1"/>
    <col min="262" max="262" width="4.6640625" style="19" customWidth="1"/>
    <col min="263" max="263" width="16.33203125" style="19" customWidth="1"/>
    <col min="264" max="264" width="15.6640625" style="19" customWidth="1"/>
    <col min="265" max="265" width="16.33203125" style="19" customWidth="1"/>
    <col min="266" max="266" width="14" style="19" customWidth="1"/>
    <col min="267" max="267" width="15.44140625" style="19" customWidth="1"/>
    <col min="268" max="270" width="15.6640625" style="19" customWidth="1"/>
    <col min="271" max="272" width="15.88671875" style="19" customWidth="1"/>
    <col min="273" max="273" width="15.6640625" style="19" customWidth="1"/>
    <col min="274" max="274" width="15.5546875" style="19" customWidth="1"/>
    <col min="275" max="275" width="16.6640625" style="19" customWidth="1"/>
    <col min="276" max="276" width="16.33203125" style="19" customWidth="1"/>
    <col min="277" max="277" width="3" style="19" customWidth="1"/>
    <col min="278" max="278" width="1.6640625" style="19" customWidth="1"/>
    <col min="279" max="280" width="0" style="19" hidden="1" customWidth="1"/>
    <col min="281" max="281" width="9.88671875" style="19" customWidth="1"/>
    <col min="282" max="282" width="0" style="19" hidden="1" customWidth="1"/>
    <col min="283" max="283" width="12.5546875" style="19" bestFit="1" customWidth="1"/>
    <col min="284" max="284" width="0" style="19" hidden="1" customWidth="1"/>
    <col min="285" max="287" width="8.88671875" style="19" customWidth="1"/>
    <col min="288" max="512" width="8.88671875" style="19"/>
    <col min="513" max="513" width="1.6640625" style="19" customWidth="1"/>
    <col min="514" max="514" width="3" style="19" customWidth="1"/>
    <col min="515" max="516" width="1.88671875" style="19" customWidth="1"/>
    <col min="517" max="517" width="55.88671875" style="19" customWidth="1"/>
    <col min="518" max="518" width="4.6640625" style="19" customWidth="1"/>
    <col min="519" max="519" width="16.33203125" style="19" customWidth="1"/>
    <col min="520" max="520" width="15.6640625" style="19" customWidth="1"/>
    <col min="521" max="521" width="16.33203125" style="19" customWidth="1"/>
    <col min="522" max="522" width="14" style="19" customWidth="1"/>
    <col min="523" max="523" width="15.44140625" style="19" customWidth="1"/>
    <col min="524" max="526" width="15.6640625" style="19" customWidth="1"/>
    <col min="527" max="528" width="15.88671875" style="19" customWidth="1"/>
    <col min="529" max="529" width="15.6640625" style="19" customWidth="1"/>
    <col min="530" max="530" width="15.5546875" style="19" customWidth="1"/>
    <col min="531" max="531" width="16.6640625" style="19" customWidth="1"/>
    <col min="532" max="532" width="16.33203125" style="19" customWidth="1"/>
    <col min="533" max="533" width="3" style="19" customWidth="1"/>
    <col min="534" max="534" width="1.6640625" style="19" customWidth="1"/>
    <col min="535" max="536" width="0" style="19" hidden="1" customWidth="1"/>
    <col min="537" max="537" width="9.88671875" style="19" customWidth="1"/>
    <col min="538" max="538" width="0" style="19" hidden="1" customWidth="1"/>
    <col min="539" max="539" width="12.5546875" style="19" bestFit="1" customWidth="1"/>
    <col min="540" max="540" width="0" style="19" hidden="1" customWidth="1"/>
    <col min="541" max="543" width="8.88671875" style="19" customWidth="1"/>
    <col min="544" max="768" width="8.88671875" style="19"/>
    <col min="769" max="769" width="1.6640625" style="19" customWidth="1"/>
    <col min="770" max="770" width="3" style="19" customWidth="1"/>
    <col min="771" max="772" width="1.88671875" style="19" customWidth="1"/>
    <col min="773" max="773" width="55.88671875" style="19" customWidth="1"/>
    <col min="774" max="774" width="4.6640625" style="19" customWidth="1"/>
    <col min="775" max="775" width="16.33203125" style="19" customWidth="1"/>
    <col min="776" max="776" width="15.6640625" style="19" customWidth="1"/>
    <col min="777" max="777" width="16.33203125" style="19" customWidth="1"/>
    <col min="778" max="778" width="14" style="19" customWidth="1"/>
    <col min="779" max="779" width="15.44140625" style="19" customWidth="1"/>
    <col min="780" max="782" width="15.6640625" style="19" customWidth="1"/>
    <col min="783" max="784" width="15.88671875" style="19" customWidth="1"/>
    <col min="785" max="785" width="15.6640625" style="19" customWidth="1"/>
    <col min="786" max="786" width="15.5546875" style="19" customWidth="1"/>
    <col min="787" max="787" width="16.6640625" style="19" customWidth="1"/>
    <col min="788" max="788" width="16.33203125" style="19" customWidth="1"/>
    <col min="789" max="789" width="3" style="19" customWidth="1"/>
    <col min="790" max="790" width="1.6640625" style="19" customWidth="1"/>
    <col min="791" max="792" width="0" style="19" hidden="1" customWidth="1"/>
    <col min="793" max="793" width="9.88671875" style="19" customWidth="1"/>
    <col min="794" max="794" width="0" style="19" hidden="1" customWidth="1"/>
    <col min="795" max="795" width="12.5546875" style="19" bestFit="1" customWidth="1"/>
    <col min="796" max="796" width="0" style="19" hidden="1" customWidth="1"/>
    <col min="797" max="799" width="8.88671875" style="19" customWidth="1"/>
    <col min="800" max="1024" width="8.88671875" style="19"/>
    <col min="1025" max="1025" width="1.6640625" style="19" customWidth="1"/>
    <col min="1026" max="1026" width="3" style="19" customWidth="1"/>
    <col min="1027" max="1028" width="1.88671875" style="19" customWidth="1"/>
    <col min="1029" max="1029" width="55.88671875" style="19" customWidth="1"/>
    <col min="1030" max="1030" width="4.6640625" style="19" customWidth="1"/>
    <col min="1031" max="1031" width="16.33203125" style="19" customWidth="1"/>
    <col min="1032" max="1032" width="15.6640625" style="19" customWidth="1"/>
    <col min="1033" max="1033" width="16.33203125" style="19" customWidth="1"/>
    <col min="1034" max="1034" width="14" style="19" customWidth="1"/>
    <col min="1035" max="1035" width="15.44140625" style="19" customWidth="1"/>
    <col min="1036" max="1038" width="15.6640625" style="19" customWidth="1"/>
    <col min="1039" max="1040" width="15.88671875" style="19" customWidth="1"/>
    <col min="1041" max="1041" width="15.6640625" style="19" customWidth="1"/>
    <col min="1042" max="1042" width="15.5546875" style="19" customWidth="1"/>
    <col min="1043" max="1043" width="16.6640625" style="19" customWidth="1"/>
    <col min="1044" max="1044" width="16.33203125" style="19" customWidth="1"/>
    <col min="1045" max="1045" width="3" style="19" customWidth="1"/>
    <col min="1046" max="1046" width="1.6640625" style="19" customWidth="1"/>
    <col min="1047" max="1048" width="0" style="19" hidden="1" customWidth="1"/>
    <col min="1049" max="1049" width="9.88671875" style="19" customWidth="1"/>
    <col min="1050" max="1050" width="0" style="19" hidden="1" customWidth="1"/>
    <col min="1051" max="1051" width="12.5546875" style="19" bestFit="1" customWidth="1"/>
    <col min="1052" max="1052" width="0" style="19" hidden="1" customWidth="1"/>
    <col min="1053" max="1055" width="8.88671875" style="19" customWidth="1"/>
    <col min="1056" max="1280" width="8.88671875" style="19"/>
    <col min="1281" max="1281" width="1.6640625" style="19" customWidth="1"/>
    <col min="1282" max="1282" width="3" style="19" customWidth="1"/>
    <col min="1283" max="1284" width="1.88671875" style="19" customWidth="1"/>
    <col min="1285" max="1285" width="55.88671875" style="19" customWidth="1"/>
    <col min="1286" max="1286" width="4.6640625" style="19" customWidth="1"/>
    <col min="1287" max="1287" width="16.33203125" style="19" customWidth="1"/>
    <col min="1288" max="1288" width="15.6640625" style="19" customWidth="1"/>
    <col min="1289" max="1289" width="16.33203125" style="19" customWidth="1"/>
    <col min="1290" max="1290" width="14" style="19" customWidth="1"/>
    <col min="1291" max="1291" width="15.44140625" style="19" customWidth="1"/>
    <col min="1292" max="1294" width="15.6640625" style="19" customWidth="1"/>
    <col min="1295" max="1296" width="15.88671875" style="19" customWidth="1"/>
    <col min="1297" max="1297" width="15.6640625" style="19" customWidth="1"/>
    <col min="1298" max="1298" width="15.5546875" style="19" customWidth="1"/>
    <col min="1299" max="1299" width="16.6640625" style="19" customWidth="1"/>
    <col min="1300" max="1300" width="16.33203125" style="19" customWidth="1"/>
    <col min="1301" max="1301" width="3" style="19" customWidth="1"/>
    <col min="1302" max="1302" width="1.6640625" style="19" customWidth="1"/>
    <col min="1303" max="1304" width="0" style="19" hidden="1" customWidth="1"/>
    <col min="1305" max="1305" width="9.88671875" style="19" customWidth="1"/>
    <col min="1306" max="1306" width="0" style="19" hidden="1" customWidth="1"/>
    <col min="1307" max="1307" width="12.5546875" style="19" bestFit="1" customWidth="1"/>
    <col min="1308" max="1308" width="0" style="19" hidden="1" customWidth="1"/>
    <col min="1309" max="1311" width="8.88671875" style="19" customWidth="1"/>
    <col min="1312" max="1536" width="8.88671875" style="19"/>
    <col min="1537" max="1537" width="1.6640625" style="19" customWidth="1"/>
    <col min="1538" max="1538" width="3" style="19" customWidth="1"/>
    <col min="1539" max="1540" width="1.88671875" style="19" customWidth="1"/>
    <col min="1541" max="1541" width="55.88671875" style="19" customWidth="1"/>
    <col min="1542" max="1542" width="4.6640625" style="19" customWidth="1"/>
    <col min="1543" max="1543" width="16.33203125" style="19" customWidth="1"/>
    <col min="1544" max="1544" width="15.6640625" style="19" customWidth="1"/>
    <col min="1545" max="1545" width="16.33203125" style="19" customWidth="1"/>
    <col min="1546" max="1546" width="14" style="19" customWidth="1"/>
    <col min="1547" max="1547" width="15.44140625" style="19" customWidth="1"/>
    <col min="1548" max="1550" width="15.6640625" style="19" customWidth="1"/>
    <col min="1551" max="1552" width="15.88671875" style="19" customWidth="1"/>
    <col min="1553" max="1553" width="15.6640625" style="19" customWidth="1"/>
    <col min="1554" max="1554" width="15.5546875" style="19" customWidth="1"/>
    <col min="1555" max="1555" width="16.6640625" style="19" customWidth="1"/>
    <col min="1556" max="1556" width="16.33203125" style="19" customWidth="1"/>
    <col min="1557" max="1557" width="3" style="19" customWidth="1"/>
    <col min="1558" max="1558" width="1.6640625" style="19" customWidth="1"/>
    <col min="1559" max="1560" width="0" style="19" hidden="1" customWidth="1"/>
    <col min="1561" max="1561" width="9.88671875" style="19" customWidth="1"/>
    <col min="1562" max="1562" width="0" style="19" hidden="1" customWidth="1"/>
    <col min="1563" max="1563" width="12.5546875" style="19" bestFit="1" customWidth="1"/>
    <col min="1564" max="1564" width="0" style="19" hidden="1" customWidth="1"/>
    <col min="1565" max="1567" width="8.88671875" style="19" customWidth="1"/>
    <col min="1568" max="1792" width="8.88671875" style="19"/>
    <col min="1793" max="1793" width="1.6640625" style="19" customWidth="1"/>
    <col min="1794" max="1794" width="3" style="19" customWidth="1"/>
    <col min="1795" max="1796" width="1.88671875" style="19" customWidth="1"/>
    <col min="1797" max="1797" width="55.88671875" style="19" customWidth="1"/>
    <col min="1798" max="1798" width="4.6640625" style="19" customWidth="1"/>
    <col min="1799" max="1799" width="16.33203125" style="19" customWidth="1"/>
    <col min="1800" max="1800" width="15.6640625" style="19" customWidth="1"/>
    <col min="1801" max="1801" width="16.33203125" style="19" customWidth="1"/>
    <col min="1802" max="1802" width="14" style="19" customWidth="1"/>
    <col min="1803" max="1803" width="15.44140625" style="19" customWidth="1"/>
    <col min="1804" max="1806" width="15.6640625" style="19" customWidth="1"/>
    <col min="1807" max="1808" width="15.88671875" style="19" customWidth="1"/>
    <col min="1809" max="1809" width="15.6640625" style="19" customWidth="1"/>
    <col min="1810" max="1810" width="15.5546875" style="19" customWidth="1"/>
    <col min="1811" max="1811" width="16.6640625" style="19" customWidth="1"/>
    <col min="1812" max="1812" width="16.33203125" style="19" customWidth="1"/>
    <col min="1813" max="1813" width="3" style="19" customWidth="1"/>
    <col min="1814" max="1814" width="1.6640625" style="19" customWidth="1"/>
    <col min="1815" max="1816" width="0" style="19" hidden="1" customWidth="1"/>
    <col min="1817" max="1817" width="9.88671875" style="19" customWidth="1"/>
    <col min="1818" max="1818" width="0" style="19" hidden="1" customWidth="1"/>
    <col min="1819" max="1819" width="12.5546875" style="19" bestFit="1" customWidth="1"/>
    <col min="1820" max="1820" width="0" style="19" hidden="1" customWidth="1"/>
    <col min="1821" max="1823" width="8.88671875" style="19" customWidth="1"/>
    <col min="1824" max="2048" width="8.88671875" style="19"/>
    <col min="2049" max="2049" width="1.6640625" style="19" customWidth="1"/>
    <col min="2050" max="2050" width="3" style="19" customWidth="1"/>
    <col min="2051" max="2052" width="1.88671875" style="19" customWidth="1"/>
    <col min="2053" max="2053" width="55.88671875" style="19" customWidth="1"/>
    <col min="2054" max="2054" width="4.6640625" style="19" customWidth="1"/>
    <col min="2055" max="2055" width="16.33203125" style="19" customWidth="1"/>
    <col min="2056" max="2056" width="15.6640625" style="19" customWidth="1"/>
    <col min="2057" max="2057" width="16.33203125" style="19" customWidth="1"/>
    <col min="2058" max="2058" width="14" style="19" customWidth="1"/>
    <col min="2059" max="2059" width="15.44140625" style="19" customWidth="1"/>
    <col min="2060" max="2062" width="15.6640625" style="19" customWidth="1"/>
    <col min="2063" max="2064" width="15.88671875" style="19" customWidth="1"/>
    <col min="2065" max="2065" width="15.6640625" style="19" customWidth="1"/>
    <col min="2066" max="2066" width="15.5546875" style="19" customWidth="1"/>
    <col min="2067" max="2067" width="16.6640625" style="19" customWidth="1"/>
    <col min="2068" max="2068" width="16.33203125" style="19" customWidth="1"/>
    <col min="2069" max="2069" width="3" style="19" customWidth="1"/>
    <col min="2070" max="2070" width="1.6640625" style="19" customWidth="1"/>
    <col min="2071" max="2072" width="0" style="19" hidden="1" customWidth="1"/>
    <col min="2073" max="2073" width="9.88671875" style="19" customWidth="1"/>
    <col min="2074" max="2074" width="0" style="19" hidden="1" customWidth="1"/>
    <col min="2075" max="2075" width="12.5546875" style="19" bestFit="1" customWidth="1"/>
    <col min="2076" max="2076" width="0" style="19" hidden="1" customWidth="1"/>
    <col min="2077" max="2079" width="8.88671875" style="19" customWidth="1"/>
    <col min="2080" max="2304" width="8.88671875" style="19"/>
    <col min="2305" max="2305" width="1.6640625" style="19" customWidth="1"/>
    <col min="2306" max="2306" width="3" style="19" customWidth="1"/>
    <col min="2307" max="2308" width="1.88671875" style="19" customWidth="1"/>
    <col min="2309" max="2309" width="55.88671875" style="19" customWidth="1"/>
    <col min="2310" max="2310" width="4.6640625" style="19" customWidth="1"/>
    <col min="2311" max="2311" width="16.33203125" style="19" customWidth="1"/>
    <col min="2312" max="2312" width="15.6640625" style="19" customWidth="1"/>
    <col min="2313" max="2313" width="16.33203125" style="19" customWidth="1"/>
    <col min="2314" max="2314" width="14" style="19" customWidth="1"/>
    <col min="2315" max="2315" width="15.44140625" style="19" customWidth="1"/>
    <col min="2316" max="2318" width="15.6640625" style="19" customWidth="1"/>
    <col min="2319" max="2320" width="15.88671875" style="19" customWidth="1"/>
    <col min="2321" max="2321" width="15.6640625" style="19" customWidth="1"/>
    <col min="2322" max="2322" width="15.5546875" style="19" customWidth="1"/>
    <col min="2323" max="2323" width="16.6640625" style="19" customWidth="1"/>
    <col min="2324" max="2324" width="16.33203125" style="19" customWidth="1"/>
    <col min="2325" max="2325" width="3" style="19" customWidth="1"/>
    <col min="2326" max="2326" width="1.6640625" style="19" customWidth="1"/>
    <col min="2327" max="2328" width="0" style="19" hidden="1" customWidth="1"/>
    <col min="2329" max="2329" width="9.88671875" style="19" customWidth="1"/>
    <col min="2330" max="2330" width="0" style="19" hidden="1" customWidth="1"/>
    <col min="2331" max="2331" width="12.5546875" style="19" bestFit="1" customWidth="1"/>
    <col min="2332" max="2332" width="0" style="19" hidden="1" customWidth="1"/>
    <col min="2333" max="2335" width="8.88671875" style="19" customWidth="1"/>
    <col min="2336" max="2560" width="8.88671875" style="19"/>
    <col min="2561" max="2561" width="1.6640625" style="19" customWidth="1"/>
    <col min="2562" max="2562" width="3" style="19" customWidth="1"/>
    <col min="2563" max="2564" width="1.88671875" style="19" customWidth="1"/>
    <col min="2565" max="2565" width="55.88671875" style="19" customWidth="1"/>
    <col min="2566" max="2566" width="4.6640625" style="19" customWidth="1"/>
    <col min="2567" max="2567" width="16.33203125" style="19" customWidth="1"/>
    <col min="2568" max="2568" width="15.6640625" style="19" customWidth="1"/>
    <col min="2569" max="2569" width="16.33203125" style="19" customWidth="1"/>
    <col min="2570" max="2570" width="14" style="19" customWidth="1"/>
    <col min="2571" max="2571" width="15.44140625" style="19" customWidth="1"/>
    <col min="2572" max="2574" width="15.6640625" style="19" customWidth="1"/>
    <col min="2575" max="2576" width="15.88671875" style="19" customWidth="1"/>
    <col min="2577" max="2577" width="15.6640625" style="19" customWidth="1"/>
    <col min="2578" max="2578" width="15.5546875" style="19" customWidth="1"/>
    <col min="2579" max="2579" width="16.6640625" style="19" customWidth="1"/>
    <col min="2580" max="2580" width="16.33203125" style="19" customWidth="1"/>
    <col min="2581" max="2581" width="3" style="19" customWidth="1"/>
    <col min="2582" max="2582" width="1.6640625" style="19" customWidth="1"/>
    <col min="2583" max="2584" width="0" style="19" hidden="1" customWidth="1"/>
    <col min="2585" max="2585" width="9.88671875" style="19" customWidth="1"/>
    <col min="2586" max="2586" width="0" style="19" hidden="1" customWidth="1"/>
    <col min="2587" max="2587" width="12.5546875" style="19" bestFit="1" customWidth="1"/>
    <col min="2588" max="2588" width="0" style="19" hidden="1" customWidth="1"/>
    <col min="2589" max="2591" width="8.88671875" style="19" customWidth="1"/>
    <col min="2592" max="2816" width="8.88671875" style="19"/>
    <col min="2817" max="2817" width="1.6640625" style="19" customWidth="1"/>
    <col min="2818" max="2818" width="3" style="19" customWidth="1"/>
    <col min="2819" max="2820" width="1.88671875" style="19" customWidth="1"/>
    <col min="2821" max="2821" width="55.88671875" style="19" customWidth="1"/>
    <col min="2822" max="2822" width="4.6640625" style="19" customWidth="1"/>
    <col min="2823" max="2823" width="16.33203125" style="19" customWidth="1"/>
    <col min="2824" max="2824" width="15.6640625" style="19" customWidth="1"/>
    <col min="2825" max="2825" width="16.33203125" style="19" customWidth="1"/>
    <col min="2826" max="2826" width="14" style="19" customWidth="1"/>
    <col min="2827" max="2827" width="15.44140625" style="19" customWidth="1"/>
    <col min="2828" max="2830" width="15.6640625" style="19" customWidth="1"/>
    <col min="2831" max="2832" width="15.88671875" style="19" customWidth="1"/>
    <col min="2833" max="2833" width="15.6640625" style="19" customWidth="1"/>
    <col min="2834" max="2834" width="15.5546875" style="19" customWidth="1"/>
    <col min="2835" max="2835" width="16.6640625" style="19" customWidth="1"/>
    <col min="2836" max="2836" width="16.33203125" style="19" customWidth="1"/>
    <col min="2837" max="2837" width="3" style="19" customWidth="1"/>
    <col min="2838" max="2838" width="1.6640625" style="19" customWidth="1"/>
    <col min="2839" max="2840" width="0" style="19" hidden="1" customWidth="1"/>
    <col min="2841" max="2841" width="9.88671875" style="19" customWidth="1"/>
    <col min="2842" max="2842" width="0" style="19" hidden="1" customWidth="1"/>
    <col min="2843" max="2843" width="12.5546875" style="19" bestFit="1" customWidth="1"/>
    <col min="2844" max="2844" width="0" style="19" hidden="1" customWidth="1"/>
    <col min="2845" max="2847" width="8.88671875" style="19" customWidth="1"/>
    <col min="2848" max="3072" width="8.88671875" style="19"/>
    <col min="3073" max="3073" width="1.6640625" style="19" customWidth="1"/>
    <col min="3074" max="3074" width="3" style="19" customWidth="1"/>
    <col min="3075" max="3076" width="1.88671875" style="19" customWidth="1"/>
    <col min="3077" max="3077" width="55.88671875" style="19" customWidth="1"/>
    <col min="3078" max="3078" width="4.6640625" style="19" customWidth="1"/>
    <col min="3079" max="3079" width="16.33203125" style="19" customWidth="1"/>
    <col min="3080" max="3080" width="15.6640625" style="19" customWidth="1"/>
    <col min="3081" max="3081" width="16.33203125" style="19" customWidth="1"/>
    <col min="3082" max="3082" width="14" style="19" customWidth="1"/>
    <col min="3083" max="3083" width="15.44140625" style="19" customWidth="1"/>
    <col min="3084" max="3086" width="15.6640625" style="19" customWidth="1"/>
    <col min="3087" max="3088" width="15.88671875" style="19" customWidth="1"/>
    <col min="3089" max="3089" width="15.6640625" style="19" customWidth="1"/>
    <col min="3090" max="3090" width="15.5546875" style="19" customWidth="1"/>
    <col min="3091" max="3091" width="16.6640625" style="19" customWidth="1"/>
    <col min="3092" max="3092" width="16.33203125" style="19" customWidth="1"/>
    <col min="3093" max="3093" width="3" style="19" customWidth="1"/>
    <col min="3094" max="3094" width="1.6640625" style="19" customWidth="1"/>
    <col min="3095" max="3096" width="0" style="19" hidden="1" customWidth="1"/>
    <col min="3097" max="3097" width="9.88671875" style="19" customWidth="1"/>
    <col min="3098" max="3098" width="0" style="19" hidden="1" customWidth="1"/>
    <col min="3099" max="3099" width="12.5546875" style="19" bestFit="1" customWidth="1"/>
    <col min="3100" max="3100" width="0" style="19" hidden="1" customWidth="1"/>
    <col min="3101" max="3103" width="8.88671875" style="19" customWidth="1"/>
    <col min="3104" max="3328" width="8.88671875" style="19"/>
    <col min="3329" max="3329" width="1.6640625" style="19" customWidth="1"/>
    <col min="3330" max="3330" width="3" style="19" customWidth="1"/>
    <col min="3331" max="3332" width="1.88671875" style="19" customWidth="1"/>
    <col min="3333" max="3333" width="55.88671875" style="19" customWidth="1"/>
    <col min="3334" max="3334" width="4.6640625" style="19" customWidth="1"/>
    <col min="3335" max="3335" width="16.33203125" style="19" customWidth="1"/>
    <col min="3336" max="3336" width="15.6640625" style="19" customWidth="1"/>
    <col min="3337" max="3337" width="16.33203125" style="19" customWidth="1"/>
    <col min="3338" max="3338" width="14" style="19" customWidth="1"/>
    <col min="3339" max="3339" width="15.44140625" style="19" customWidth="1"/>
    <col min="3340" max="3342" width="15.6640625" style="19" customWidth="1"/>
    <col min="3343" max="3344" width="15.88671875" style="19" customWidth="1"/>
    <col min="3345" max="3345" width="15.6640625" style="19" customWidth="1"/>
    <col min="3346" max="3346" width="15.5546875" style="19" customWidth="1"/>
    <col min="3347" max="3347" width="16.6640625" style="19" customWidth="1"/>
    <col min="3348" max="3348" width="16.33203125" style="19" customWidth="1"/>
    <col min="3349" max="3349" width="3" style="19" customWidth="1"/>
    <col min="3350" max="3350" width="1.6640625" style="19" customWidth="1"/>
    <col min="3351" max="3352" width="0" style="19" hidden="1" customWidth="1"/>
    <col min="3353" max="3353" width="9.88671875" style="19" customWidth="1"/>
    <col min="3354" max="3354" width="0" style="19" hidden="1" customWidth="1"/>
    <col min="3355" max="3355" width="12.5546875" style="19" bestFit="1" customWidth="1"/>
    <col min="3356" max="3356" width="0" style="19" hidden="1" customWidth="1"/>
    <col min="3357" max="3359" width="8.88671875" style="19" customWidth="1"/>
    <col min="3360" max="3584" width="8.88671875" style="19"/>
    <col min="3585" max="3585" width="1.6640625" style="19" customWidth="1"/>
    <col min="3586" max="3586" width="3" style="19" customWidth="1"/>
    <col min="3587" max="3588" width="1.88671875" style="19" customWidth="1"/>
    <col min="3589" max="3589" width="55.88671875" style="19" customWidth="1"/>
    <col min="3590" max="3590" width="4.6640625" style="19" customWidth="1"/>
    <col min="3591" max="3591" width="16.33203125" style="19" customWidth="1"/>
    <col min="3592" max="3592" width="15.6640625" style="19" customWidth="1"/>
    <col min="3593" max="3593" width="16.33203125" style="19" customWidth="1"/>
    <col min="3594" max="3594" width="14" style="19" customWidth="1"/>
    <col min="3595" max="3595" width="15.44140625" style="19" customWidth="1"/>
    <col min="3596" max="3598" width="15.6640625" style="19" customWidth="1"/>
    <col min="3599" max="3600" width="15.88671875" style="19" customWidth="1"/>
    <col min="3601" max="3601" width="15.6640625" style="19" customWidth="1"/>
    <col min="3602" max="3602" width="15.5546875" style="19" customWidth="1"/>
    <col min="3603" max="3603" width="16.6640625" style="19" customWidth="1"/>
    <col min="3604" max="3604" width="16.33203125" style="19" customWidth="1"/>
    <col min="3605" max="3605" width="3" style="19" customWidth="1"/>
    <col min="3606" max="3606" width="1.6640625" style="19" customWidth="1"/>
    <col min="3607" max="3608" width="0" style="19" hidden="1" customWidth="1"/>
    <col min="3609" max="3609" width="9.88671875" style="19" customWidth="1"/>
    <col min="3610" max="3610" width="0" style="19" hidden="1" customWidth="1"/>
    <col min="3611" max="3611" width="12.5546875" style="19" bestFit="1" customWidth="1"/>
    <col min="3612" max="3612" width="0" style="19" hidden="1" customWidth="1"/>
    <col min="3613" max="3615" width="8.88671875" style="19" customWidth="1"/>
    <col min="3616" max="3840" width="8.88671875" style="19"/>
    <col min="3841" max="3841" width="1.6640625" style="19" customWidth="1"/>
    <col min="3842" max="3842" width="3" style="19" customWidth="1"/>
    <col min="3843" max="3844" width="1.88671875" style="19" customWidth="1"/>
    <col min="3845" max="3845" width="55.88671875" style="19" customWidth="1"/>
    <col min="3846" max="3846" width="4.6640625" style="19" customWidth="1"/>
    <col min="3847" max="3847" width="16.33203125" style="19" customWidth="1"/>
    <col min="3848" max="3848" width="15.6640625" style="19" customWidth="1"/>
    <col min="3849" max="3849" width="16.33203125" style="19" customWidth="1"/>
    <col min="3850" max="3850" width="14" style="19" customWidth="1"/>
    <col min="3851" max="3851" width="15.44140625" style="19" customWidth="1"/>
    <col min="3852" max="3854" width="15.6640625" style="19" customWidth="1"/>
    <col min="3855" max="3856" width="15.88671875" style="19" customWidth="1"/>
    <col min="3857" max="3857" width="15.6640625" style="19" customWidth="1"/>
    <col min="3858" max="3858" width="15.5546875" style="19" customWidth="1"/>
    <col min="3859" max="3859" width="16.6640625" style="19" customWidth="1"/>
    <col min="3860" max="3860" width="16.33203125" style="19" customWidth="1"/>
    <col min="3861" max="3861" width="3" style="19" customWidth="1"/>
    <col min="3862" max="3862" width="1.6640625" style="19" customWidth="1"/>
    <col min="3863" max="3864" width="0" style="19" hidden="1" customWidth="1"/>
    <col min="3865" max="3865" width="9.88671875" style="19" customWidth="1"/>
    <col min="3866" max="3866" width="0" style="19" hidden="1" customWidth="1"/>
    <col min="3867" max="3867" width="12.5546875" style="19" bestFit="1" customWidth="1"/>
    <col min="3868" max="3868" width="0" style="19" hidden="1" customWidth="1"/>
    <col min="3869" max="3871" width="8.88671875" style="19" customWidth="1"/>
    <col min="3872" max="4096" width="8.88671875" style="19"/>
    <col min="4097" max="4097" width="1.6640625" style="19" customWidth="1"/>
    <col min="4098" max="4098" width="3" style="19" customWidth="1"/>
    <col min="4099" max="4100" width="1.88671875" style="19" customWidth="1"/>
    <col min="4101" max="4101" width="55.88671875" style="19" customWidth="1"/>
    <col min="4102" max="4102" width="4.6640625" style="19" customWidth="1"/>
    <col min="4103" max="4103" width="16.33203125" style="19" customWidth="1"/>
    <col min="4104" max="4104" width="15.6640625" style="19" customWidth="1"/>
    <col min="4105" max="4105" width="16.33203125" style="19" customWidth="1"/>
    <col min="4106" max="4106" width="14" style="19" customWidth="1"/>
    <col min="4107" max="4107" width="15.44140625" style="19" customWidth="1"/>
    <col min="4108" max="4110" width="15.6640625" style="19" customWidth="1"/>
    <col min="4111" max="4112" width="15.88671875" style="19" customWidth="1"/>
    <col min="4113" max="4113" width="15.6640625" style="19" customWidth="1"/>
    <col min="4114" max="4114" width="15.5546875" style="19" customWidth="1"/>
    <col min="4115" max="4115" width="16.6640625" style="19" customWidth="1"/>
    <col min="4116" max="4116" width="16.33203125" style="19" customWidth="1"/>
    <col min="4117" max="4117" width="3" style="19" customWidth="1"/>
    <col min="4118" max="4118" width="1.6640625" style="19" customWidth="1"/>
    <col min="4119" max="4120" width="0" style="19" hidden="1" customWidth="1"/>
    <col min="4121" max="4121" width="9.88671875" style="19" customWidth="1"/>
    <col min="4122" max="4122" width="0" style="19" hidden="1" customWidth="1"/>
    <col min="4123" max="4123" width="12.5546875" style="19" bestFit="1" customWidth="1"/>
    <col min="4124" max="4124" width="0" style="19" hidden="1" customWidth="1"/>
    <col min="4125" max="4127" width="8.88671875" style="19" customWidth="1"/>
    <col min="4128" max="4352" width="8.88671875" style="19"/>
    <col min="4353" max="4353" width="1.6640625" style="19" customWidth="1"/>
    <col min="4354" max="4354" width="3" style="19" customWidth="1"/>
    <col min="4355" max="4356" width="1.88671875" style="19" customWidth="1"/>
    <col min="4357" max="4357" width="55.88671875" style="19" customWidth="1"/>
    <col min="4358" max="4358" width="4.6640625" style="19" customWidth="1"/>
    <col min="4359" max="4359" width="16.33203125" style="19" customWidth="1"/>
    <col min="4360" max="4360" width="15.6640625" style="19" customWidth="1"/>
    <col min="4361" max="4361" width="16.33203125" style="19" customWidth="1"/>
    <col min="4362" max="4362" width="14" style="19" customWidth="1"/>
    <col min="4363" max="4363" width="15.44140625" style="19" customWidth="1"/>
    <col min="4364" max="4366" width="15.6640625" style="19" customWidth="1"/>
    <col min="4367" max="4368" width="15.88671875" style="19" customWidth="1"/>
    <col min="4369" max="4369" width="15.6640625" style="19" customWidth="1"/>
    <col min="4370" max="4370" width="15.5546875" style="19" customWidth="1"/>
    <col min="4371" max="4371" width="16.6640625" style="19" customWidth="1"/>
    <col min="4372" max="4372" width="16.33203125" style="19" customWidth="1"/>
    <col min="4373" max="4373" width="3" style="19" customWidth="1"/>
    <col min="4374" max="4374" width="1.6640625" style="19" customWidth="1"/>
    <col min="4375" max="4376" width="0" style="19" hidden="1" customWidth="1"/>
    <col min="4377" max="4377" width="9.88671875" style="19" customWidth="1"/>
    <col min="4378" max="4378" width="0" style="19" hidden="1" customWidth="1"/>
    <col min="4379" max="4379" width="12.5546875" style="19" bestFit="1" customWidth="1"/>
    <col min="4380" max="4380" width="0" style="19" hidden="1" customWidth="1"/>
    <col min="4381" max="4383" width="8.88671875" style="19" customWidth="1"/>
    <col min="4384" max="4608" width="8.88671875" style="19"/>
    <col min="4609" max="4609" width="1.6640625" style="19" customWidth="1"/>
    <col min="4610" max="4610" width="3" style="19" customWidth="1"/>
    <col min="4611" max="4612" width="1.88671875" style="19" customWidth="1"/>
    <col min="4613" max="4613" width="55.88671875" style="19" customWidth="1"/>
    <col min="4614" max="4614" width="4.6640625" style="19" customWidth="1"/>
    <col min="4615" max="4615" width="16.33203125" style="19" customWidth="1"/>
    <col min="4616" max="4616" width="15.6640625" style="19" customWidth="1"/>
    <col min="4617" max="4617" width="16.33203125" style="19" customWidth="1"/>
    <col min="4618" max="4618" width="14" style="19" customWidth="1"/>
    <col min="4619" max="4619" width="15.44140625" style="19" customWidth="1"/>
    <col min="4620" max="4622" width="15.6640625" style="19" customWidth="1"/>
    <col min="4623" max="4624" width="15.88671875" style="19" customWidth="1"/>
    <col min="4625" max="4625" width="15.6640625" style="19" customWidth="1"/>
    <col min="4626" max="4626" width="15.5546875" style="19" customWidth="1"/>
    <col min="4627" max="4627" width="16.6640625" style="19" customWidth="1"/>
    <col min="4628" max="4628" width="16.33203125" style="19" customWidth="1"/>
    <col min="4629" max="4629" width="3" style="19" customWidth="1"/>
    <col min="4630" max="4630" width="1.6640625" style="19" customWidth="1"/>
    <col min="4631" max="4632" width="0" style="19" hidden="1" customWidth="1"/>
    <col min="4633" max="4633" width="9.88671875" style="19" customWidth="1"/>
    <col min="4634" max="4634" width="0" style="19" hidden="1" customWidth="1"/>
    <col min="4635" max="4635" width="12.5546875" style="19" bestFit="1" customWidth="1"/>
    <col min="4636" max="4636" width="0" style="19" hidden="1" customWidth="1"/>
    <col min="4637" max="4639" width="8.88671875" style="19" customWidth="1"/>
    <col min="4640" max="4864" width="8.88671875" style="19"/>
    <col min="4865" max="4865" width="1.6640625" style="19" customWidth="1"/>
    <col min="4866" max="4866" width="3" style="19" customWidth="1"/>
    <col min="4867" max="4868" width="1.88671875" style="19" customWidth="1"/>
    <col min="4869" max="4869" width="55.88671875" style="19" customWidth="1"/>
    <col min="4870" max="4870" width="4.6640625" style="19" customWidth="1"/>
    <col min="4871" max="4871" width="16.33203125" style="19" customWidth="1"/>
    <col min="4872" max="4872" width="15.6640625" style="19" customWidth="1"/>
    <col min="4873" max="4873" width="16.33203125" style="19" customWidth="1"/>
    <col min="4874" max="4874" width="14" style="19" customWidth="1"/>
    <col min="4875" max="4875" width="15.44140625" style="19" customWidth="1"/>
    <col min="4876" max="4878" width="15.6640625" style="19" customWidth="1"/>
    <col min="4879" max="4880" width="15.88671875" style="19" customWidth="1"/>
    <col min="4881" max="4881" width="15.6640625" style="19" customWidth="1"/>
    <col min="4882" max="4882" width="15.5546875" style="19" customWidth="1"/>
    <col min="4883" max="4883" width="16.6640625" style="19" customWidth="1"/>
    <col min="4884" max="4884" width="16.33203125" style="19" customWidth="1"/>
    <col min="4885" max="4885" width="3" style="19" customWidth="1"/>
    <col min="4886" max="4886" width="1.6640625" style="19" customWidth="1"/>
    <col min="4887" max="4888" width="0" style="19" hidden="1" customWidth="1"/>
    <col min="4889" max="4889" width="9.88671875" style="19" customWidth="1"/>
    <col min="4890" max="4890" width="0" style="19" hidden="1" customWidth="1"/>
    <col min="4891" max="4891" width="12.5546875" style="19" bestFit="1" customWidth="1"/>
    <col min="4892" max="4892" width="0" style="19" hidden="1" customWidth="1"/>
    <col min="4893" max="4895" width="8.88671875" style="19" customWidth="1"/>
    <col min="4896" max="5120" width="8.88671875" style="19"/>
    <col min="5121" max="5121" width="1.6640625" style="19" customWidth="1"/>
    <col min="5122" max="5122" width="3" style="19" customWidth="1"/>
    <col min="5123" max="5124" width="1.88671875" style="19" customWidth="1"/>
    <col min="5125" max="5125" width="55.88671875" style="19" customWidth="1"/>
    <col min="5126" max="5126" width="4.6640625" style="19" customWidth="1"/>
    <col min="5127" max="5127" width="16.33203125" style="19" customWidth="1"/>
    <col min="5128" max="5128" width="15.6640625" style="19" customWidth="1"/>
    <col min="5129" max="5129" width="16.33203125" style="19" customWidth="1"/>
    <col min="5130" max="5130" width="14" style="19" customWidth="1"/>
    <col min="5131" max="5131" width="15.44140625" style="19" customWidth="1"/>
    <col min="5132" max="5134" width="15.6640625" style="19" customWidth="1"/>
    <col min="5135" max="5136" width="15.88671875" style="19" customWidth="1"/>
    <col min="5137" max="5137" width="15.6640625" style="19" customWidth="1"/>
    <col min="5138" max="5138" width="15.5546875" style="19" customWidth="1"/>
    <col min="5139" max="5139" width="16.6640625" style="19" customWidth="1"/>
    <col min="5140" max="5140" width="16.33203125" style="19" customWidth="1"/>
    <col min="5141" max="5141" width="3" style="19" customWidth="1"/>
    <col min="5142" max="5142" width="1.6640625" style="19" customWidth="1"/>
    <col min="5143" max="5144" width="0" style="19" hidden="1" customWidth="1"/>
    <col min="5145" max="5145" width="9.88671875" style="19" customWidth="1"/>
    <col min="5146" max="5146" width="0" style="19" hidden="1" customWidth="1"/>
    <col min="5147" max="5147" width="12.5546875" style="19" bestFit="1" customWidth="1"/>
    <col min="5148" max="5148" width="0" style="19" hidden="1" customWidth="1"/>
    <col min="5149" max="5151" width="8.88671875" style="19" customWidth="1"/>
    <col min="5152" max="5376" width="8.88671875" style="19"/>
    <col min="5377" max="5377" width="1.6640625" style="19" customWidth="1"/>
    <col min="5378" max="5378" width="3" style="19" customWidth="1"/>
    <col min="5379" max="5380" width="1.88671875" style="19" customWidth="1"/>
    <col min="5381" max="5381" width="55.88671875" style="19" customWidth="1"/>
    <col min="5382" max="5382" width="4.6640625" style="19" customWidth="1"/>
    <col min="5383" max="5383" width="16.33203125" style="19" customWidth="1"/>
    <col min="5384" max="5384" width="15.6640625" style="19" customWidth="1"/>
    <col min="5385" max="5385" width="16.33203125" style="19" customWidth="1"/>
    <col min="5386" max="5386" width="14" style="19" customWidth="1"/>
    <col min="5387" max="5387" width="15.44140625" style="19" customWidth="1"/>
    <col min="5388" max="5390" width="15.6640625" style="19" customWidth="1"/>
    <col min="5391" max="5392" width="15.88671875" style="19" customWidth="1"/>
    <col min="5393" max="5393" width="15.6640625" style="19" customWidth="1"/>
    <col min="5394" max="5394" width="15.5546875" style="19" customWidth="1"/>
    <col min="5395" max="5395" width="16.6640625" style="19" customWidth="1"/>
    <col min="5396" max="5396" width="16.33203125" style="19" customWidth="1"/>
    <col min="5397" max="5397" width="3" style="19" customWidth="1"/>
    <col min="5398" max="5398" width="1.6640625" style="19" customWidth="1"/>
    <col min="5399" max="5400" width="0" style="19" hidden="1" customWidth="1"/>
    <col min="5401" max="5401" width="9.88671875" style="19" customWidth="1"/>
    <col min="5402" max="5402" width="0" style="19" hidden="1" customWidth="1"/>
    <col min="5403" max="5403" width="12.5546875" style="19" bestFit="1" customWidth="1"/>
    <col min="5404" max="5404" width="0" style="19" hidden="1" customWidth="1"/>
    <col min="5405" max="5407" width="8.88671875" style="19" customWidth="1"/>
    <col min="5408" max="5632" width="8.88671875" style="19"/>
    <col min="5633" max="5633" width="1.6640625" style="19" customWidth="1"/>
    <col min="5634" max="5634" width="3" style="19" customWidth="1"/>
    <col min="5635" max="5636" width="1.88671875" style="19" customWidth="1"/>
    <col min="5637" max="5637" width="55.88671875" style="19" customWidth="1"/>
    <col min="5638" max="5638" width="4.6640625" style="19" customWidth="1"/>
    <col min="5639" max="5639" width="16.33203125" style="19" customWidth="1"/>
    <col min="5640" max="5640" width="15.6640625" style="19" customWidth="1"/>
    <col min="5641" max="5641" width="16.33203125" style="19" customWidth="1"/>
    <col min="5642" max="5642" width="14" style="19" customWidth="1"/>
    <col min="5643" max="5643" width="15.44140625" style="19" customWidth="1"/>
    <col min="5644" max="5646" width="15.6640625" style="19" customWidth="1"/>
    <col min="5647" max="5648" width="15.88671875" style="19" customWidth="1"/>
    <col min="5649" max="5649" width="15.6640625" style="19" customWidth="1"/>
    <col min="5650" max="5650" width="15.5546875" style="19" customWidth="1"/>
    <col min="5651" max="5651" width="16.6640625" style="19" customWidth="1"/>
    <col min="5652" max="5652" width="16.33203125" style="19" customWidth="1"/>
    <col min="5653" max="5653" width="3" style="19" customWidth="1"/>
    <col min="5654" max="5654" width="1.6640625" style="19" customWidth="1"/>
    <col min="5655" max="5656" width="0" style="19" hidden="1" customWidth="1"/>
    <col min="5657" max="5657" width="9.88671875" style="19" customWidth="1"/>
    <col min="5658" max="5658" width="0" style="19" hidden="1" customWidth="1"/>
    <col min="5659" max="5659" width="12.5546875" style="19" bestFit="1" customWidth="1"/>
    <col min="5660" max="5660" width="0" style="19" hidden="1" customWidth="1"/>
    <col min="5661" max="5663" width="8.88671875" style="19" customWidth="1"/>
    <col min="5664" max="5888" width="8.88671875" style="19"/>
    <col min="5889" max="5889" width="1.6640625" style="19" customWidth="1"/>
    <col min="5890" max="5890" width="3" style="19" customWidth="1"/>
    <col min="5891" max="5892" width="1.88671875" style="19" customWidth="1"/>
    <col min="5893" max="5893" width="55.88671875" style="19" customWidth="1"/>
    <col min="5894" max="5894" width="4.6640625" style="19" customWidth="1"/>
    <col min="5895" max="5895" width="16.33203125" style="19" customWidth="1"/>
    <col min="5896" max="5896" width="15.6640625" style="19" customWidth="1"/>
    <col min="5897" max="5897" width="16.33203125" style="19" customWidth="1"/>
    <col min="5898" max="5898" width="14" style="19" customWidth="1"/>
    <col min="5899" max="5899" width="15.44140625" style="19" customWidth="1"/>
    <col min="5900" max="5902" width="15.6640625" style="19" customWidth="1"/>
    <col min="5903" max="5904" width="15.88671875" style="19" customWidth="1"/>
    <col min="5905" max="5905" width="15.6640625" style="19" customWidth="1"/>
    <col min="5906" max="5906" width="15.5546875" style="19" customWidth="1"/>
    <col min="5907" max="5907" width="16.6640625" style="19" customWidth="1"/>
    <col min="5908" max="5908" width="16.33203125" style="19" customWidth="1"/>
    <col min="5909" max="5909" width="3" style="19" customWidth="1"/>
    <col min="5910" max="5910" width="1.6640625" style="19" customWidth="1"/>
    <col min="5911" max="5912" width="0" style="19" hidden="1" customWidth="1"/>
    <col min="5913" max="5913" width="9.88671875" style="19" customWidth="1"/>
    <col min="5914" max="5914" width="0" style="19" hidden="1" customWidth="1"/>
    <col min="5915" max="5915" width="12.5546875" style="19" bestFit="1" customWidth="1"/>
    <col min="5916" max="5916" width="0" style="19" hidden="1" customWidth="1"/>
    <col min="5917" max="5919" width="8.88671875" style="19" customWidth="1"/>
    <col min="5920" max="6144" width="8.88671875" style="19"/>
    <col min="6145" max="6145" width="1.6640625" style="19" customWidth="1"/>
    <col min="6146" max="6146" width="3" style="19" customWidth="1"/>
    <col min="6147" max="6148" width="1.88671875" style="19" customWidth="1"/>
    <col min="6149" max="6149" width="55.88671875" style="19" customWidth="1"/>
    <col min="6150" max="6150" width="4.6640625" style="19" customWidth="1"/>
    <col min="6151" max="6151" width="16.33203125" style="19" customWidth="1"/>
    <col min="6152" max="6152" width="15.6640625" style="19" customWidth="1"/>
    <col min="6153" max="6153" width="16.33203125" style="19" customWidth="1"/>
    <col min="6154" max="6154" width="14" style="19" customWidth="1"/>
    <col min="6155" max="6155" width="15.44140625" style="19" customWidth="1"/>
    <col min="6156" max="6158" width="15.6640625" style="19" customWidth="1"/>
    <col min="6159" max="6160" width="15.88671875" style="19" customWidth="1"/>
    <col min="6161" max="6161" width="15.6640625" style="19" customWidth="1"/>
    <col min="6162" max="6162" width="15.5546875" style="19" customWidth="1"/>
    <col min="6163" max="6163" width="16.6640625" style="19" customWidth="1"/>
    <col min="6164" max="6164" width="16.33203125" style="19" customWidth="1"/>
    <col min="6165" max="6165" width="3" style="19" customWidth="1"/>
    <col min="6166" max="6166" width="1.6640625" style="19" customWidth="1"/>
    <col min="6167" max="6168" width="0" style="19" hidden="1" customWidth="1"/>
    <col min="6169" max="6169" width="9.88671875" style="19" customWidth="1"/>
    <col min="6170" max="6170" width="0" style="19" hidden="1" customWidth="1"/>
    <col min="6171" max="6171" width="12.5546875" style="19" bestFit="1" customWidth="1"/>
    <col min="6172" max="6172" width="0" style="19" hidden="1" customWidth="1"/>
    <col min="6173" max="6175" width="8.88671875" style="19" customWidth="1"/>
    <col min="6176" max="6400" width="8.88671875" style="19"/>
    <col min="6401" max="6401" width="1.6640625" style="19" customWidth="1"/>
    <col min="6402" max="6402" width="3" style="19" customWidth="1"/>
    <col min="6403" max="6404" width="1.88671875" style="19" customWidth="1"/>
    <col min="6405" max="6405" width="55.88671875" style="19" customWidth="1"/>
    <col min="6406" max="6406" width="4.6640625" style="19" customWidth="1"/>
    <col min="6407" max="6407" width="16.33203125" style="19" customWidth="1"/>
    <col min="6408" max="6408" width="15.6640625" style="19" customWidth="1"/>
    <col min="6409" max="6409" width="16.33203125" style="19" customWidth="1"/>
    <col min="6410" max="6410" width="14" style="19" customWidth="1"/>
    <col min="6411" max="6411" width="15.44140625" style="19" customWidth="1"/>
    <col min="6412" max="6414" width="15.6640625" style="19" customWidth="1"/>
    <col min="6415" max="6416" width="15.88671875" style="19" customWidth="1"/>
    <col min="6417" max="6417" width="15.6640625" style="19" customWidth="1"/>
    <col min="6418" max="6418" width="15.5546875" style="19" customWidth="1"/>
    <col min="6419" max="6419" width="16.6640625" style="19" customWidth="1"/>
    <col min="6420" max="6420" width="16.33203125" style="19" customWidth="1"/>
    <col min="6421" max="6421" width="3" style="19" customWidth="1"/>
    <col min="6422" max="6422" width="1.6640625" style="19" customWidth="1"/>
    <col min="6423" max="6424" width="0" style="19" hidden="1" customWidth="1"/>
    <col min="6425" max="6425" width="9.88671875" style="19" customWidth="1"/>
    <col min="6426" max="6426" width="0" style="19" hidden="1" customWidth="1"/>
    <col min="6427" max="6427" width="12.5546875" style="19" bestFit="1" customWidth="1"/>
    <col min="6428" max="6428" width="0" style="19" hidden="1" customWidth="1"/>
    <col min="6429" max="6431" width="8.88671875" style="19" customWidth="1"/>
    <col min="6432" max="6656" width="8.88671875" style="19"/>
    <col min="6657" max="6657" width="1.6640625" style="19" customWidth="1"/>
    <col min="6658" max="6658" width="3" style="19" customWidth="1"/>
    <col min="6659" max="6660" width="1.88671875" style="19" customWidth="1"/>
    <col min="6661" max="6661" width="55.88671875" style="19" customWidth="1"/>
    <col min="6662" max="6662" width="4.6640625" style="19" customWidth="1"/>
    <col min="6663" max="6663" width="16.33203125" style="19" customWidth="1"/>
    <col min="6664" max="6664" width="15.6640625" style="19" customWidth="1"/>
    <col min="6665" max="6665" width="16.33203125" style="19" customWidth="1"/>
    <col min="6666" max="6666" width="14" style="19" customWidth="1"/>
    <col min="6667" max="6667" width="15.44140625" style="19" customWidth="1"/>
    <col min="6668" max="6670" width="15.6640625" style="19" customWidth="1"/>
    <col min="6671" max="6672" width="15.88671875" style="19" customWidth="1"/>
    <col min="6673" max="6673" width="15.6640625" style="19" customWidth="1"/>
    <col min="6674" max="6674" width="15.5546875" style="19" customWidth="1"/>
    <col min="6675" max="6675" width="16.6640625" style="19" customWidth="1"/>
    <col min="6676" max="6676" width="16.33203125" style="19" customWidth="1"/>
    <col min="6677" max="6677" width="3" style="19" customWidth="1"/>
    <col min="6678" max="6678" width="1.6640625" style="19" customWidth="1"/>
    <col min="6679" max="6680" width="0" style="19" hidden="1" customWidth="1"/>
    <col min="6681" max="6681" width="9.88671875" style="19" customWidth="1"/>
    <col min="6682" max="6682" width="0" style="19" hidden="1" customWidth="1"/>
    <col min="6683" max="6683" width="12.5546875" style="19" bestFit="1" customWidth="1"/>
    <col min="6684" max="6684" width="0" style="19" hidden="1" customWidth="1"/>
    <col min="6685" max="6687" width="8.88671875" style="19" customWidth="1"/>
    <col min="6688" max="6912" width="8.88671875" style="19"/>
    <col min="6913" max="6913" width="1.6640625" style="19" customWidth="1"/>
    <col min="6914" max="6914" width="3" style="19" customWidth="1"/>
    <col min="6915" max="6916" width="1.88671875" style="19" customWidth="1"/>
    <col min="6917" max="6917" width="55.88671875" style="19" customWidth="1"/>
    <col min="6918" max="6918" width="4.6640625" style="19" customWidth="1"/>
    <col min="6919" max="6919" width="16.33203125" style="19" customWidth="1"/>
    <col min="6920" max="6920" width="15.6640625" style="19" customWidth="1"/>
    <col min="6921" max="6921" width="16.33203125" style="19" customWidth="1"/>
    <col min="6922" max="6922" width="14" style="19" customWidth="1"/>
    <col min="6923" max="6923" width="15.44140625" style="19" customWidth="1"/>
    <col min="6924" max="6926" width="15.6640625" style="19" customWidth="1"/>
    <col min="6927" max="6928" width="15.88671875" style="19" customWidth="1"/>
    <col min="6929" max="6929" width="15.6640625" style="19" customWidth="1"/>
    <col min="6930" max="6930" width="15.5546875" style="19" customWidth="1"/>
    <col min="6931" max="6931" width="16.6640625" style="19" customWidth="1"/>
    <col min="6932" max="6932" width="16.33203125" style="19" customWidth="1"/>
    <col min="6933" max="6933" width="3" style="19" customWidth="1"/>
    <col min="6934" max="6934" width="1.6640625" style="19" customWidth="1"/>
    <col min="6935" max="6936" width="0" style="19" hidden="1" customWidth="1"/>
    <col min="6937" max="6937" width="9.88671875" style="19" customWidth="1"/>
    <col min="6938" max="6938" width="0" style="19" hidden="1" customWidth="1"/>
    <col min="6939" max="6939" width="12.5546875" style="19" bestFit="1" customWidth="1"/>
    <col min="6940" max="6940" width="0" style="19" hidden="1" customWidth="1"/>
    <col min="6941" max="6943" width="8.88671875" style="19" customWidth="1"/>
    <col min="6944" max="7168" width="8.88671875" style="19"/>
    <col min="7169" max="7169" width="1.6640625" style="19" customWidth="1"/>
    <col min="7170" max="7170" width="3" style="19" customWidth="1"/>
    <col min="7171" max="7172" width="1.88671875" style="19" customWidth="1"/>
    <col min="7173" max="7173" width="55.88671875" style="19" customWidth="1"/>
    <col min="7174" max="7174" width="4.6640625" style="19" customWidth="1"/>
    <col min="7175" max="7175" width="16.33203125" style="19" customWidth="1"/>
    <col min="7176" max="7176" width="15.6640625" style="19" customWidth="1"/>
    <col min="7177" max="7177" width="16.33203125" style="19" customWidth="1"/>
    <col min="7178" max="7178" width="14" style="19" customWidth="1"/>
    <col min="7179" max="7179" width="15.44140625" style="19" customWidth="1"/>
    <col min="7180" max="7182" width="15.6640625" style="19" customWidth="1"/>
    <col min="7183" max="7184" width="15.88671875" style="19" customWidth="1"/>
    <col min="7185" max="7185" width="15.6640625" style="19" customWidth="1"/>
    <col min="7186" max="7186" width="15.5546875" style="19" customWidth="1"/>
    <col min="7187" max="7187" width="16.6640625" style="19" customWidth="1"/>
    <col min="7188" max="7188" width="16.33203125" style="19" customWidth="1"/>
    <col min="7189" max="7189" width="3" style="19" customWidth="1"/>
    <col min="7190" max="7190" width="1.6640625" style="19" customWidth="1"/>
    <col min="7191" max="7192" width="0" style="19" hidden="1" customWidth="1"/>
    <col min="7193" max="7193" width="9.88671875" style="19" customWidth="1"/>
    <col min="7194" max="7194" width="0" style="19" hidden="1" customWidth="1"/>
    <col min="7195" max="7195" width="12.5546875" style="19" bestFit="1" customWidth="1"/>
    <col min="7196" max="7196" width="0" style="19" hidden="1" customWidth="1"/>
    <col min="7197" max="7199" width="8.88671875" style="19" customWidth="1"/>
    <col min="7200" max="7424" width="8.88671875" style="19"/>
    <col min="7425" max="7425" width="1.6640625" style="19" customWidth="1"/>
    <col min="7426" max="7426" width="3" style="19" customWidth="1"/>
    <col min="7427" max="7428" width="1.88671875" style="19" customWidth="1"/>
    <col min="7429" max="7429" width="55.88671875" style="19" customWidth="1"/>
    <col min="7430" max="7430" width="4.6640625" style="19" customWidth="1"/>
    <col min="7431" max="7431" width="16.33203125" style="19" customWidth="1"/>
    <col min="7432" max="7432" width="15.6640625" style="19" customWidth="1"/>
    <col min="7433" max="7433" width="16.33203125" style="19" customWidth="1"/>
    <col min="7434" max="7434" width="14" style="19" customWidth="1"/>
    <col min="7435" max="7435" width="15.44140625" style="19" customWidth="1"/>
    <col min="7436" max="7438" width="15.6640625" style="19" customWidth="1"/>
    <col min="7439" max="7440" width="15.88671875" style="19" customWidth="1"/>
    <col min="7441" max="7441" width="15.6640625" style="19" customWidth="1"/>
    <col min="7442" max="7442" width="15.5546875" style="19" customWidth="1"/>
    <col min="7443" max="7443" width="16.6640625" style="19" customWidth="1"/>
    <col min="7444" max="7444" width="16.33203125" style="19" customWidth="1"/>
    <col min="7445" max="7445" width="3" style="19" customWidth="1"/>
    <col min="7446" max="7446" width="1.6640625" style="19" customWidth="1"/>
    <col min="7447" max="7448" width="0" style="19" hidden="1" customWidth="1"/>
    <col min="7449" max="7449" width="9.88671875" style="19" customWidth="1"/>
    <col min="7450" max="7450" width="0" style="19" hidden="1" customWidth="1"/>
    <col min="7451" max="7451" width="12.5546875" style="19" bestFit="1" customWidth="1"/>
    <col min="7452" max="7452" width="0" style="19" hidden="1" customWidth="1"/>
    <col min="7453" max="7455" width="8.88671875" style="19" customWidth="1"/>
    <col min="7456" max="7680" width="8.88671875" style="19"/>
    <col min="7681" max="7681" width="1.6640625" style="19" customWidth="1"/>
    <col min="7682" max="7682" width="3" style="19" customWidth="1"/>
    <col min="7683" max="7684" width="1.88671875" style="19" customWidth="1"/>
    <col min="7685" max="7685" width="55.88671875" style="19" customWidth="1"/>
    <col min="7686" max="7686" width="4.6640625" style="19" customWidth="1"/>
    <col min="7687" max="7687" width="16.33203125" style="19" customWidth="1"/>
    <col min="7688" max="7688" width="15.6640625" style="19" customWidth="1"/>
    <col min="7689" max="7689" width="16.33203125" style="19" customWidth="1"/>
    <col min="7690" max="7690" width="14" style="19" customWidth="1"/>
    <col min="7691" max="7691" width="15.44140625" style="19" customWidth="1"/>
    <col min="7692" max="7694" width="15.6640625" style="19" customWidth="1"/>
    <col min="7695" max="7696" width="15.88671875" style="19" customWidth="1"/>
    <col min="7697" max="7697" width="15.6640625" style="19" customWidth="1"/>
    <col min="7698" max="7698" width="15.5546875" style="19" customWidth="1"/>
    <col min="7699" max="7699" width="16.6640625" style="19" customWidth="1"/>
    <col min="7700" max="7700" width="16.33203125" style="19" customWidth="1"/>
    <col min="7701" max="7701" width="3" style="19" customWidth="1"/>
    <col min="7702" max="7702" width="1.6640625" style="19" customWidth="1"/>
    <col min="7703" max="7704" width="0" style="19" hidden="1" customWidth="1"/>
    <col min="7705" max="7705" width="9.88671875" style="19" customWidth="1"/>
    <col min="7706" max="7706" width="0" style="19" hidden="1" customWidth="1"/>
    <col min="7707" max="7707" width="12.5546875" style="19" bestFit="1" customWidth="1"/>
    <col min="7708" max="7708" width="0" style="19" hidden="1" customWidth="1"/>
    <col min="7709" max="7711" width="8.88671875" style="19" customWidth="1"/>
    <col min="7712" max="7936" width="8.88671875" style="19"/>
    <col min="7937" max="7937" width="1.6640625" style="19" customWidth="1"/>
    <col min="7938" max="7938" width="3" style="19" customWidth="1"/>
    <col min="7939" max="7940" width="1.88671875" style="19" customWidth="1"/>
    <col min="7941" max="7941" width="55.88671875" style="19" customWidth="1"/>
    <col min="7942" max="7942" width="4.6640625" style="19" customWidth="1"/>
    <col min="7943" max="7943" width="16.33203125" style="19" customWidth="1"/>
    <col min="7944" max="7944" width="15.6640625" style="19" customWidth="1"/>
    <col min="7945" max="7945" width="16.33203125" style="19" customWidth="1"/>
    <col min="7946" max="7946" width="14" style="19" customWidth="1"/>
    <col min="7947" max="7947" width="15.44140625" style="19" customWidth="1"/>
    <col min="7948" max="7950" width="15.6640625" style="19" customWidth="1"/>
    <col min="7951" max="7952" width="15.88671875" style="19" customWidth="1"/>
    <col min="7953" max="7953" width="15.6640625" style="19" customWidth="1"/>
    <col min="7954" max="7954" width="15.5546875" style="19" customWidth="1"/>
    <col min="7955" max="7955" width="16.6640625" style="19" customWidth="1"/>
    <col min="7956" max="7956" width="16.33203125" style="19" customWidth="1"/>
    <col min="7957" max="7957" width="3" style="19" customWidth="1"/>
    <col min="7958" max="7958" width="1.6640625" style="19" customWidth="1"/>
    <col min="7959" max="7960" width="0" style="19" hidden="1" customWidth="1"/>
    <col min="7961" max="7961" width="9.88671875" style="19" customWidth="1"/>
    <col min="7962" max="7962" width="0" style="19" hidden="1" customWidth="1"/>
    <col min="7963" max="7963" width="12.5546875" style="19" bestFit="1" customWidth="1"/>
    <col min="7964" max="7964" width="0" style="19" hidden="1" customWidth="1"/>
    <col min="7965" max="7967" width="8.88671875" style="19" customWidth="1"/>
    <col min="7968" max="8192" width="8.88671875" style="19"/>
    <col min="8193" max="8193" width="1.6640625" style="19" customWidth="1"/>
    <col min="8194" max="8194" width="3" style="19" customWidth="1"/>
    <col min="8195" max="8196" width="1.88671875" style="19" customWidth="1"/>
    <col min="8197" max="8197" width="55.88671875" style="19" customWidth="1"/>
    <col min="8198" max="8198" width="4.6640625" style="19" customWidth="1"/>
    <col min="8199" max="8199" width="16.33203125" style="19" customWidth="1"/>
    <col min="8200" max="8200" width="15.6640625" style="19" customWidth="1"/>
    <col min="8201" max="8201" width="16.33203125" style="19" customWidth="1"/>
    <col min="8202" max="8202" width="14" style="19" customWidth="1"/>
    <col min="8203" max="8203" width="15.44140625" style="19" customWidth="1"/>
    <col min="8204" max="8206" width="15.6640625" style="19" customWidth="1"/>
    <col min="8207" max="8208" width="15.88671875" style="19" customWidth="1"/>
    <col min="8209" max="8209" width="15.6640625" style="19" customWidth="1"/>
    <col min="8210" max="8210" width="15.5546875" style="19" customWidth="1"/>
    <col min="8211" max="8211" width="16.6640625" style="19" customWidth="1"/>
    <col min="8212" max="8212" width="16.33203125" style="19" customWidth="1"/>
    <col min="8213" max="8213" width="3" style="19" customWidth="1"/>
    <col min="8214" max="8214" width="1.6640625" style="19" customWidth="1"/>
    <col min="8215" max="8216" width="0" style="19" hidden="1" customWidth="1"/>
    <col min="8217" max="8217" width="9.88671875" style="19" customWidth="1"/>
    <col min="8218" max="8218" width="0" style="19" hidden="1" customWidth="1"/>
    <col min="8219" max="8219" width="12.5546875" style="19" bestFit="1" customWidth="1"/>
    <col min="8220" max="8220" width="0" style="19" hidden="1" customWidth="1"/>
    <col min="8221" max="8223" width="8.88671875" style="19" customWidth="1"/>
    <col min="8224" max="8448" width="8.88671875" style="19"/>
    <col min="8449" max="8449" width="1.6640625" style="19" customWidth="1"/>
    <col min="8450" max="8450" width="3" style="19" customWidth="1"/>
    <col min="8451" max="8452" width="1.88671875" style="19" customWidth="1"/>
    <col min="8453" max="8453" width="55.88671875" style="19" customWidth="1"/>
    <col min="8454" max="8454" width="4.6640625" style="19" customWidth="1"/>
    <col min="8455" max="8455" width="16.33203125" style="19" customWidth="1"/>
    <col min="8456" max="8456" width="15.6640625" style="19" customWidth="1"/>
    <col min="8457" max="8457" width="16.33203125" style="19" customWidth="1"/>
    <col min="8458" max="8458" width="14" style="19" customWidth="1"/>
    <col min="8459" max="8459" width="15.44140625" style="19" customWidth="1"/>
    <col min="8460" max="8462" width="15.6640625" style="19" customWidth="1"/>
    <col min="8463" max="8464" width="15.88671875" style="19" customWidth="1"/>
    <col min="8465" max="8465" width="15.6640625" style="19" customWidth="1"/>
    <col min="8466" max="8466" width="15.5546875" style="19" customWidth="1"/>
    <col min="8467" max="8467" width="16.6640625" style="19" customWidth="1"/>
    <col min="8468" max="8468" width="16.33203125" style="19" customWidth="1"/>
    <col min="8469" max="8469" width="3" style="19" customWidth="1"/>
    <col min="8470" max="8470" width="1.6640625" style="19" customWidth="1"/>
    <col min="8471" max="8472" width="0" style="19" hidden="1" customWidth="1"/>
    <col min="8473" max="8473" width="9.88671875" style="19" customWidth="1"/>
    <col min="8474" max="8474" width="0" style="19" hidden="1" customWidth="1"/>
    <col min="8475" max="8475" width="12.5546875" style="19" bestFit="1" customWidth="1"/>
    <col min="8476" max="8476" width="0" style="19" hidden="1" customWidth="1"/>
    <col min="8477" max="8479" width="8.88671875" style="19" customWidth="1"/>
    <col min="8480" max="8704" width="8.88671875" style="19"/>
    <col min="8705" max="8705" width="1.6640625" style="19" customWidth="1"/>
    <col min="8706" max="8706" width="3" style="19" customWidth="1"/>
    <col min="8707" max="8708" width="1.88671875" style="19" customWidth="1"/>
    <col min="8709" max="8709" width="55.88671875" style="19" customWidth="1"/>
    <col min="8710" max="8710" width="4.6640625" style="19" customWidth="1"/>
    <col min="8711" max="8711" width="16.33203125" style="19" customWidth="1"/>
    <col min="8712" max="8712" width="15.6640625" style="19" customWidth="1"/>
    <col min="8713" max="8713" width="16.33203125" style="19" customWidth="1"/>
    <col min="8714" max="8714" width="14" style="19" customWidth="1"/>
    <col min="8715" max="8715" width="15.44140625" style="19" customWidth="1"/>
    <col min="8716" max="8718" width="15.6640625" style="19" customWidth="1"/>
    <col min="8719" max="8720" width="15.88671875" style="19" customWidth="1"/>
    <col min="8721" max="8721" width="15.6640625" style="19" customWidth="1"/>
    <col min="8722" max="8722" width="15.5546875" style="19" customWidth="1"/>
    <col min="8723" max="8723" width="16.6640625" style="19" customWidth="1"/>
    <col min="8724" max="8724" width="16.33203125" style="19" customWidth="1"/>
    <col min="8725" max="8725" width="3" style="19" customWidth="1"/>
    <col min="8726" max="8726" width="1.6640625" style="19" customWidth="1"/>
    <col min="8727" max="8728" width="0" style="19" hidden="1" customWidth="1"/>
    <col min="8729" max="8729" width="9.88671875" style="19" customWidth="1"/>
    <col min="8730" max="8730" width="0" style="19" hidden="1" customWidth="1"/>
    <col min="8731" max="8731" width="12.5546875" style="19" bestFit="1" customWidth="1"/>
    <col min="8732" max="8732" width="0" style="19" hidden="1" customWidth="1"/>
    <col min="8733" max="8735" width="8.88671875" style="19" customWidth="1"/>
    <col min="8736" max="8960" width="8.88671875" style="19"/>
    <col min="8961" max="8961" width="1.6640625" style="19" customWidth="1"/>
    <col min="8962" max="8962" width="3" style="19" customWidth="1"/>
    <col min="8963" max="8964" width="1.88671875" style="19" customWidth="1"/>
    <col min="8965" max="8965" width="55.88671875" style="19" customWidth="1"/>
    <col min="8966" max="8966" width="4.6640625" style="19" customWidth="1"/>
    <col min="8967" max="8967" width="16.33203125" style="19" customWidth="1"/>
    <col min="8968" max="8968" width="15.6640625" style="19" customWidth="1"/>
    <col min="8969" max="8969" width="16.33203125" style="19" customWidth="1"/>
    <col min="8970" max="8970" width="14" style="19" customWidth="1"/>
    <col min="8971" max="8971" width="15.44140625" style="19" customWidth="1"/>
    <col min="8972" max="8974" width="15.6640625" style="19" customWidth="1"/>
    <col min="8975" max="8976" width="15.88671875" style="19" customWidth="1"/>
    <col min="8977" max="8977" width="15.6640625" style="19" customWidth="1"/>
    <col min="8978" max="8978" width="15.5546875" style="19" customWidth="1"/>
    <col min="8979" max="8979" width="16.6640625" style="19" customWidth="1"/>
    <col min="8980" max="8980" width="16.33203125" style="19" customWidth="1"/>
    <col min="8981" max="8981" width="3" style="19" customWidth="1"/>
    <col min="8982" max="8982" width="1.6640625" style="19" customWidth="1"/>
    <col min="8983" max="8984" width="0" style="19" hidden="1" customWidth="1"/>
    <col min="8985" max="8985" width="9.88671875" style="19" customWidth="1"/>
    <col min="8986" max="8986" width="0" style="19" hidden="1" customWidth="1"/>
    <col min="8987" max="8987" width="12.5546875" style="19" bestFit="1" customWidth="1"/>
    <col min="8988" max="8988" width="0" style="19" hidden="1" customWidth="1"/>
    <col min="8989" max="8991" width="8.88671875" style="19" customWidth="1"/>
    <col min="8992" max="9216" width="8.88671875" style="19"/>
    <col min="9217" max="9217" width="1.6640625" style="19" customWidth="1"/>
    <col min="9218" max="9218" width="3" style="19" customWidth="1"/>
    <col min="9219" max="9220" width="1.88671875" style="19" customWidth="1"/>
    <col min="9221" max="9221" width="55.88671875" style="19" customWidth="1"/>
    <col min="9222" max="9222" width="4.6640625" style="19" customWidth="1"/>
    <col min="9223" max="9223" width="16.33203125" style="19" customWidth="1"/>
    <col min="9224" max="9224" width="15.6640625" style="19" customWidth="1"/>
    <col min="9225" max="9225" width="16.33203125" style="19" customWidth="1"/>
    <col min="9226" max="9226" width="14" style="19" customWidth="1"/>
    <col min="9227" max="9227" width="15.44140625" style="19" customWidth="1"/>
    <col min="9228" max="9230" width="15.6640625" style="19" customWidth="1"/>
    <col min="9231" max="9232" width="15.88671875" style="19" customWidth="1"/>
    <col min="9233" max="9233" width="15.6640625" style="19" customWidth="1"/>
    <col min="9234" max="9234" width="15.5546875" style="19" customWidth="1"/>
    <col min="9235" max="9235" width="16.6640625" style="19" customWidth="1"/>
    <col min="9236" max="9236" width="16.33203125" style="19" customWidth="1"/>
    <col min="9237" max="9237" width="3" style="19" customWidth="1"/>
    <col min="9238" max="9238" width="1.6640625" style="19" customWidth="1"/>
    <col min="9239" max="9240" width="0" style="19" hidden="1" customWidth="1"/>
    <col min="9241" max="9241" width="9.88671875" style="19" customWidth="1"/>
    <col min="9242" max="9242" width="0" style="19" hidden="1" customWidth="1"/>
    <col min="9243" max="9243" width="12.5546875" style="19" bestFit="1" customWidth="1"/>
    <col min="9244" max="9244" width="0" style="19" hidden="1" customWidth="1"/>
    <col min="9245" max="9247" width="8.88671875" style="19" customWidth="1"/>
    <col min="9248" max="9472" width="8.88671875" style="19"/>
    <col min="9473" max="9473" width="1.6640625" style="19" customWidth="1"/>
    <col min="9474" max="9474" width="3" style="19" customWidth="1"/>
    <col min="9475" max="9476" width="1.88671875" style="19" customWidth="1"/>
    <col min="9477" max="9477" width="55.88671875" style="19" customWidth="1"/>
    <col min="9478" max="9478" width="4.6640625" style="19" customWidth="1"/>
    <col min="9479" max="9479" width="16.33203125" style="19" customWidth="1"/>
    <col min="9480" max="9480" width="15.6640625" style="19" customWidth="1"/>
    <col min="9481" max="9481" width="16.33203125" style="19" customWidth="1"/>
    <col min="9482" max="9482" width="14" style="19" customWidth="1"/>
    <col min="9483" max="9483" width="15.44140625" style="19" customWidth="1"/>
    <col min="9484" max="9486" width="15.6640625" style="19" customWidth="1"/>
    <col min="9487" max="9488" width="15.88671875" style="19" customWidth="1"/>
    <col min="9489" max="9489" width="15.6640625" style="19" customWidth="1"/>
    <col min="9490" max="9490" width="15.5546875" style="19" customWidth="1"/>
    <col min="9491" max="9491" width="16.6640625" style="19" customWidth="1"/>
    <col min="9492" max="9492" width="16.33203125" style="19" customWidth="1"/>
    <col min="9493" max="9493" width="3" style="19" customWidth="1"/>
    <col min="9494" max="9494" width="1.6640625" style="19" customWidth="1"/>
    <col min="9495" max="9496" width="0" style="19" hidden="1" customWidth="1"/>
    <col min="9497" max="9497" width="9.88671875" style="19" customWidth="1"/>
    <col min="9498" max="9498" width="0" style="19" hidden="1" customWidth="1"/>
    <col min="9499" max="9499" width="12.5546875" style="19" bestFit="1" customWidth="1"/>
    <col min="9500" max="9500" width="0" style="19" hidden="1" customWidth="1"/>
    <col min="9501" max="9503" width="8.88671875" style="19" customWidth="1"/>
    <col min="9504" max="9728" width="8.88671875" style="19"/>
    <col min="9729" max="9729" width="1.6640625" style="19" customWidth="1"/>
    <col min="9730" max="9730" width="3" style="19" customWidth="1"/>
    <col min="9731" max="9732" width="1.88671875" style="19" customWidth="1"/>
    <col min="9733" max="9733" width="55.88671875" style="19" customWidth="1"/>
    <col min="9734" max="9734" width="4.6640625" style="19" customWidth="1"/>
    <col min="9735" max="9735" width="16.33203125" style="19" customWidth="1"/>
    <col min="9736" max="9736" width="15.6640625" style="19" customWidth="1"/>
    <col min="9737" max="9737" width="16.33203125" style="19" customWidth="1"/>
    <col min="9738" max="9738" width="14" style="19" customWidth="1"/>
    <col min="9739" max="9739" width="15.44140625" style="19" customWidth="1"/>
    <col min="9740" max="9742" width="15.6640625" style="19" customWidth="1"/>
    <col min="9743" max="9744" width="15.88671875" style="19" customWidth="1"/>
    <col min="9745" max="9745" width="15.6640625" style="19" customWidth="1"/>
    <col min="9746" max="9746" width="15.5546875" style="19" customWidth="1"/>
    <col min="9747" max="9747" width="16.6640625" style="19" customWidth="1"/>
    <col min="9748" max="9748" width="16.33203125" style="19" customWidth="1"/>
    <col min="9749" max="9749" width="3" style="19" customWidth="1"/>
    <col min="9750" max="9750" width="1.6640625" style="19" customWidth="1"/>
    <col min="9751" max="9752" width="0" style="19" hidden="1" customWidth="1"/>
    <col min="9753" max="9753" width="9.88671875" style="19" customWidth="1"/>
    <col min="9754" max="9754" width="0" style="19" hidden="1" customWidth="1"/>
    <col min="9755" max="9755" width="12.5546875" style="19" bestFit="1" customWidth="1"/>
    <col min="9756" max="9756" width="0" style="19" hidden="1" customWidth="1"/>
    <col min="9757" max="9759" width="8.88671875" style="19" customWidth="1"/>
    <col min="9760" max="9984" width="8.88671875" style="19"/>
    <col min="9985" max="9985" width="1.6640625" style="19" customWidth="1"/>
    <col min="9986" max="9986" width="3" style="19" customWidth="1"/>
    <col min="9987" max="9988" width="1.88671875" style="19" customWidth="1"/>
    <col min="9989" max="9989" width="55.88671875" style="19" customWidth="1"/>
    <col min="9990" max="9990" width="4.6640625" style="19" customWidth="1"/>
    <col min="9991" max="9991" width="16.33203125" style="19" customWidth="1"/>
    <col min="9992" max="9992" width="15.6640625" style="19" customWidth="1"/>
    <col min="9993" max="9993" width="16.33203125" style="19" customWidth="1"/>
    <col min="9994" max="9994" width="14" style="19" customWidth="1"/>
    <col min="9995" max="9995" width="15.44140625" style="19" customWidth="1"/>
    <col min="9996" max="9998" width="15.6640625" style="19" customWidth="1"/>
    <col min="9999" max="10000" width="15.88671875" style="19" customWidth="1"/>
    <col min="10001" max="10001" width="15.6640625" style="19" customWidth="1"/>
    <col min="10002" max="10002" width="15.5546875" style="19" customWidth="1"/>
    <col min="10003" max="10003" width="16.6640625" style="19" customWidth="1"/>
    <col min="10004" max="10004" width="16.33203125" style="19" customWidth="1"/>
    <col min="10005" max="10005" width="3" style="19" customWidth="1"/>
    <col min="10006" max="10006" width="1.6640625" style="19" customWidth="1"/>
    <col min="10007" max="10008" width="0" style="19" hidden="1" customWidth="1"/>
    <col min="10009" max="10009" width="9.88671875" style="19" customWidth="1"/>
    <col min="10010" max="10010" width="0" style="19" hidden="1" customWidth="1"/>
    <col min="10011" max="10011" width="12.5546875" style="19" bestFit="1" customWidth="1"/>
    <col min="10012" max="10012" width="0" style="19" hidden="1" customWidth="1"/>
    <col min="10013" max="10015" width="8.88671875" style="19" customWidth="1"/>
    <col min="10016" max="10240" width="8.88671875" style="19"/>
    <col min="10241" max="10241" width="1.6640625" style="19" customWidth="1"/>
    <col min="10242" max="10242" width="3" style="19" customWidth="1"/>
    <col min="10243" max="10244" width="1.88671875" style="19" customWidth="1"/>
    <col min="10245" max="10245" width="55.88671875" style="19" customWidth="1"/>
    <col min="10246" max="10246" width="4.6640625" style="19" customWidth="1"/>
    <col min="10247" max="10247" width="16.33203125" style="19" customWidth="1"/>
    <col min="10248" max="10248" width="15.6640625" style="19" customWidth="1"/>
    <col min="10249" max="10249" width="16.33203125" style="19" customWidth="1"/>
    <col min="10250" max="10250" width="14" style="19" customWidth="1"/>
    <col min="10251" max="10251" width="15.44140625" style="19" customWidth="1"/>
    <col min="10252" max="10254" width="15.6640625" style="19" customWidth="1"/>
    <col min="10255" max="10256" width="15.88671875" style="19" customWidth="1"/>
    <col min="10257" max="10257" width="15.6640625" style="19" customWidth="1"/>
    <col min="10258" max="10258" width="15.5546875" style="19" customWidth="1"/>
    <col min="10259" max="10259" width="16.6640625" style="19" customWidth="1"/>
    <col min="10260" max="10260" width="16.33203125" style="19" customWidth="1"/>
    <col min="10261" max="10261" width="3" style="19" customWidth="1"/>
    <col min="10262" max="10262" width="1.6640625" style="19" customWidth="1"/>
    <col min="10263" max="10264" width="0" style="19" hidden="1" customWidth="1"/>
    <col min="10265" max="10265" width="9.88671875" style="19" customWidth="1"/>
    <col min="10266" max="10266" width="0" style="19" hidden="1" customWidth="1"/>
    <col min="10267" max="10267" width="12.5546875" style="19" bestFit="1" customWidth="1"/>
    <col min="10268" max="10268" width="0" style="19" hidden="1" customWidth="1"/>
    <col min="10269" max="10271" width="8.88671875" style="19" customWidth="1"/>
    <col min="10272" max="10496" width="8.88671875" style="19"/>
    <col min="10497" max="10497" width="1.6640625" style="19" customWidth="1"/>
    <col min="10498" max="10498" width="3" style="19" customWidth="1"/>
    <col min="10499" max="10500" width="1.88671875" style="19" customWidth="1"/>
    <col min="10501" max="10501" width="55.88671875" style="19" customWidth="1"/>
    <col min="10502" max="10502" width="4.6640625" style="19" customWidth="1"/>
    <col min="10503" max="10503" width="16.33203125" style="19" customWidth="1"/>
    <col min="10504" max="10504" width="15.6640625" style="19" customWidth="1"/>
    <col min="10505" max="10505" width="16.33203125" style="19" customWidth="1"/>
    <col min="10506" max="10506" width="14" style="19" customWidth="1"/>
    <col min="10507" max="10507" width="15.44140625" style="19" customWidth="1"/>
    <col min="10508" max="10510" width="15.6640625" style="19" customWidth="1"/>
    <col min="10511" max="10512" width="15.88671875" style="19" customWidth="1"/>
    <col min="10513" max="10513" width="15.6640625" style="19" customWidth="1"/>
    <col min="10514" max="10514" width="15.5546875" style="19" customWidth="1"/>
    <col min="10515" max="10515" width="16.6640625" style="19" customWidth="1"/>
    <col min="10516" max="10516" width="16.33203125" style="19" customWidth="1"/>
    <col min="10517" max="10517" width="3" style="19" customWidth="1"/>
    <col min="10518" max="10518" width="1.6640625" style="19" customWidth="1"/>
    <col min="10519" max="10520" width="0" style="19" hidden="1" customWidth="1"/>
    <col min="10521" max="10521" width="9.88671875" style="19" customWidth="1"/>
    <col min="10522" max="10522" width="0" style="19" hidden="1" customWidth="1"/>
    <col min="10523" max="10523" width="12.5546875" style="19" bestFit="1" customWidth="1"/>
    <col min="10524" max="10524" width="0" style="19" hidden="1" customWidth="1"/>
    <col min="10525" max="10527" width="8.88671875" style="19" customWidth="1"/>
    <col min="10528" max="10752" width="8.88671875" style="19"/>
    <col min="10753" max="10753" width="1.6640625" style="19" customWidth="1"/>
    <col min="10754" max="10754" width="3" style="19" customWidth="1"/>
    <col min="10755" max="10756" width="1.88671875" style="19" customWidth="1"/>
    <col min="10757" max="10757" width="55.88671875" style="19" customWidth="1"/>
    <col min="10758" max="10758" width="4.6640625" style="19" customWidth="1"/>
    <col min="10759" max="10759" width="16.33203125" style="19" customWidth="1"/>
    <col min="10760" max="10760" width="15.6640625" style="19" customWidth="1"/>
    <col min="10761" max="10761" width="16.33203125" style="19" customWidth="1"/>
    <col min="10762" max="10762" width="14" style="19" customWidth="1"/>
    <col min="10763" max="10763" width="15.44140625" style="19" customWidth="1"/>
    <col min="10764" max="10766" width="15.6640625" style="19" customWidth="1"/>
    <col min="10767" max="10768" width="15.88671875" style="19" customWidth="1"/>
    <col min="10769" max="10769" width="15.6640625" style="19" customWidth="1"/>
    <col min="10770" max="10770" width="15.5546875" style="19" customWidth="1"/>
    <col min="10771" max="10771" width="16.6640625" style="19" customWidth="1"/>
    <col min="10772" max="10772" width="16.33203125" style="19" customWidth="1"/>
    <col min="10773" max="10773" width="3" style="19" customWidth="1"/>
    <col min="10774" max="10774" width="1.6640625" style="19" customWidth="1"/>
    <col min="10775" max="10776" width="0" style="19" hidden="1" customWidth="1"/>
    <col min="10777" max="10777" width="9.88671875" style="19" customWidth="1"/>
    <col min="10778" max="10778" width="0" style="19" hidden="1" customWidth="1"/>
    <col min="10779" max="10779" width="12.5546875" style="19" bestFit="1" customWidth="1"/>
    <col min="10780" max="10780" width="0" style="19" hidden="1" customWidth="1"/>
    <col min="10781" max="10783" width="8.88671875" style="19" customWidth="1"/>
    <col min="10784" max="11008" width="8.88671875" style="19"/>
    <col min="11009" max="11009" width="1.6640625" style="19" customWidth="1"/>
    <col min="11010" max="11010" width="3" style="19" customWidth="1"/>
    <col min="11011" max="11012" width="1.88671875" style="19" customWidth="1"/>
    <col min="11013" max="11013" width="55.88671875" style="19" customWidth="1"/>
    <col min="11014" max="11014" width="4.6640625" style="19" customWidth="1"/>
    <col min="11015" max="11015" width="16.33203125" style="19" customWidth="1"/>
    <col min="11016" max="11016" width="15.6640625" style="19" customWidth="1"/>
    <col min="11017" max="11017" width="16.33203125" style="19" customWidth="1"/>
    <col min="11018" max="11018" width="14" style="19" customWidth="1"/>
    <col min="11019" max="11019" width="15.44140625" style="19" customWidth="1"/>
    <col min="11020" max="11022" width="15.6640625" style="19" customWidth="1"/>
    <col min="11023" max="11024" width="15.88671875" style="19" customWidth="1"/>
    <col min="11025" max="11025" width="15.6640625" style="19" customWidth="1"/>
    <col min="11026" max="11026" width="15.5546875" style="19" customWidth="1"/>
    <col min="11027" max="11027" width="16.6640625" style="19" customWidth="1"/>
    <col min="11028" max="11028" width="16.33203125" style="19" customWidth="1"/>
    <col min="11029" max="11029" width="3" style="19" customWidth="1"/>
    <col min="11030" max="11030" width="1.6640625" style="19" customWidth="1"/>
    <col min="11031" max="11032" width="0" style="19" hidden="1" customWidth="1"/>
    <col min="11033" max="11033" width="9.88671875" style="19" customWidth="1"/>
    <col min="11034" max="11034" width="0" style="19" hidden="1" customWidth="1"/>
    <col min="11035" max="11035" width="12.5546875" style="19" bestFit="1" customWidth="1"/>
    <col min="11036" max="11036" width="0" style="19" hidden="1" customWidth="1"/>
    <col min="11037" max="11039" width="8.88671875" style="19" customWidth="1"/>
    <col min="11040" max="11264" width="8.88671875" style="19"/>
    <col min="11265" max="11265" width="1.6640625" style="19" customWidth="1"/>
    <col min="11266" max="11266" width="3" style="19" customWidth="1"/>
    <col min="11267" max="11268" width="1.88671875" style="19" customWidth="1"/>
    <col min="11269" max="11269" width="55.88671875" style="19" customWidth="1"/>
    <col min="11270" max="11270" width="4.6640625" style="19" customWidth="1"/>
    <col min="11271" max="11271" width="16.33203125" style="19" customWidth="1"/>
    <col min="11272" max="11272" width="15.6640625" style="19" customWidth="1"/>
    <col min="11273" max="11273" width="16.33203125" style="19" customWidth="1"/>
    <col min="11274" max="11274" width="14" style="19" customWidth="1"/>
    <col min="11275" max="11275" width="15.44140625" style="19" customWidth="1"/>
    <col min="11276" max="11278" width="15.6640625" style="19" customWidth="1"/>
    <col min="11279" max="11280" width="15.88671875" style="19" customWidth="1"/>
    <col min="11281" max="11281" width="15.6640625" style="19" customWidth="1"/>
    <col min="11282" max="11282" width="15.5546875" style="19" customWidth="1"/>
    <col min="11283" max="11283" width="16.6640625" style="19" customWidth="1"/>
    <col min="11284" max="11284" width="16.33203125" style="19" customWidth="1"/>
    <col min="11285" max="11285" width="3" style="19" customWidth="1"/>
    <col min="11286" max="11286" width="1.6640625" style="19" customWidth="1"/>
    <col min="11287" max="11288" width="0" style="19" hidden="1" customWidth="1"/>
    <col min="11289" max="11289" width="9.88671875" style="19" customWidth="1"/>
    <col min="11290" max="11290" width="0" style="19" hidden="1" customWidth="1"/>
    <col min="11291" max="11291" width="12.5546875" style="19" bestFit="1" customWidth="1"/>
    <col min="11292" max="11292" width="0" style="19" hidden="1" customWidth="1"/>
    <col min="11293" max="11295" width="8.88671875" style="19" customWidth="1"/>
    <col min="11296" max="11520" width="8.88671875" style="19"/>
    <col min="11521" max="11521" width="1.6640625" style="19" customWidth="1"/>
    <col min="11522" max="11522" width="3" style="19" customWidth="1"/>
    <col min="11523" max="11524" width="1.88671875" style="19" customWidth="1"/>
    <col min="11525" max="11525" width="55.88671875" style="19" customWidth="1"/>
    <col min="11526" max="11526" width="4.6640625" style="19" customWidth="1"/>
    <col min="11527" max="11527" width="16.33203125" style="19" customWidth="1"/>
    <col min="11528" max="11528" width="15.6640625" style="19" customWidth="1"/>
    <col min="11529" max="11529" width="16.33203125" style="19" customWidth="1"/>
    <col min="11530" max="11530" width="14" style="19" customWidth="1"/>
    <col min="11531" max="11531" width="15.44140625" style="19" customWidth="1"/>
    <col min="11532" max="11534" width="15.6640625" style="19" customWidth="1"/>
    <col min="11535" max="11536" width="15.88671875" style="19" customWidth="1"/>
    <col min="11537" max="11537" width="15.6640625" style="19" customWidth="1"/>
    <col min="11538" max="11538" width="15.5546875" style="19" customWidth="1"/>
    <col min="11539" max="11539" width="16.6640625" style="19" customWidth="1"/>
    <col min="11540" max="11540" width="16.33203125" style="19" customWidth="1"/>
    <col min="11541" max="11541" width="3" style="19" customWidth="1"/>
    <col min="11542" max="11542" width="1.6640625" style="19" customWidth="1"/>
    <col min="11543" max="11544" width="0" style="19" hidden="1" customWidth="1"/>
    <col min="11545" max="11545" width="9.88671875" style="19" customWidth="1"/>
    <col min="11546" max="11546" width="0" style="19" hidden="1" customWidth="1"/>
    <col min="11547" max="11547" width="12.5546875" style="19" bestFit="1" customWidth="1"/>
    <col min="11548" max="11548" width="0" style="19" hidden="1" customWidth="1"/>
    <col min="11549" max="11551" width="8.88671875" style="19" customWidth="1"/>
    <col min="11552" max="11776" width="8.88671875" style="19"/>
    <col min="11777" max="11777" width="1.6640625" style="19" customWidth="1"/>
    <col min="11778" max="11778" width="3" style="19" customWidth="1"/>
    <col min="11779" max="11780" width="1.88671875" style="19" customWidth="1"/>
    <col min="11781" max="11781" width="55.88671875" style="19" customWidth="1"/>
    <col min="11782" max="11782" width="4.6640625" style="19" customWidth="1"/>
    <col min="11783" max="11783" width="16.33203125" style="19" customWidth="1"/>
    <col min="11784" max="11784" width="15.6640625" style="19" customWidth="1"/>
    <col min="11785" max="11785" width="16.33203125" style="19" customWidth="1"/>
    <col min="11786" max="11786" width="14" style="19" customWidth="1"/>
    <col min="11787" max="11787" width="15.44140625" style="19" customWidth="1"/>
    <col min="11788" max="11790" width="15.6640625" style="19" customWidth="1"/>
    <col min="11791" max="11792" width="15.88671875" style="19" customWidth="1"/>
    <col min="11793" max="11793" width="15.6640625" style="19" customWidth="1"/>
    <col min="11794" max="11794" width="15.5546875" style="19" customWidth="1"/>
    <col min="11795" max="11795" width="16.6640625" style="19" customWidth="1"/>
    <col min="11796" max="11796" width="16.33203125" style="19" customWidth="1"/>
    <col min="11797" max="11797" width="3" style="19" customWidth="1"/>
    <col min="11798" max="11798" width="1.6640625" style="19" customWidth="1"/>
    <col min="11799" max="11800" width="0" style="19" hidden="1" customWidth="1"/>
    <col min="11801" max="11801" width="9.88671875" style="19" customWidth="1"/>
    <col min="11802" max="11802" width="0" style="19" hidden="1" customWidth="1"/>
    <col min="11803" max="11803" width="12.5546875" style="19" bestFit="1" customWidth="1"/>
    <col min="11804" max="11804" width="0" style="19" hidden="1" customWidth="1"/>
    <col min="11805" max="11807" width="8.88671875" style="19" customWidth="1"/>
    <col min="11808" max="12032" width="8.88671875" style="19"/>
    <col min="12033" max="12033" width="1.6640625" style="19" customWidth="1"/>
    <col min="12034" max="12034" width="3" style="19" customWidth="1"/>
    <col min="12035" max="12036" width="1.88671875" style="19" customWidth="1"/>
    <col min="12037" max="12037" width="55.88671875" style="19" customWidth="1"/>
    <col min="12038" max="12038" width="4.6640625" style="19" customWidth="1"/>
    <col min="12039" max="12039" width="16.33203125" style="19" customWidth="1"/>
    <col min="12040" max="12040" width="15.6640625" style="19" customWidth="1"/>
    <col min="12041" max="12041" width="16.33203125" style="19" customWidth="1"/>
    <col min="12042" max="12042" width="14" style="19" customWidth="1"/>
    <col min="12043" max="12043" width="15.44140625" style="19" customWidth="1"/>
    <col min="12044" max="12046" width="15.6640625" style="19" customWidth="1"/>
    <col min="12047" max="12048" width="15.88671875" style="19" customWidth="1"/>
    <col min="12049" max="12049" width="15.6640625" style="19" customWidth="1"/>
    <col min="12050" max="12050" width="15.5546875" style="19" customWidth="1"/>
    <col min="12051" max="12051" width="16.6640625" style="19" customWidth="1"/>
    <col min="12052" max="12052" width="16.33203125" style="19" customWidth="1"/>
    <col min="12053" max="12053" width="3" style="19" customWidth="1"/>
    <col min="12054" max="12054" width="1.6640625" style="19" customWidth="1"/>
    <col min="12055" max="12056" width="0" style="19" hidden="1" customWidth="1"/>
    <col min="12057" max="12057" width="9.88671875" style="19" customWidth="1"/>
    <col min="12058" max="12058" width="0" style="19" hidden="1" customWidth="1"/>
    <col min="12059" max="12059" width="12.5546875" style="19" bestFit="1" customWidth="1"/>
    <col min="12060" max="12060" width="0" style="19" hidden="1" customWidth="1"/>
    <col min="12061" max="12063" width="8.88671875" style="19" customWidth="1"/>
    <col min="12064" max="12288" width="8.88671875" style="19"/>
    <col min="12289" max="12289" width="1.6640625" style="19" customWidth="1"/>
    <col min="12290" max="12290" width="3" style="19" customWidth="1"/>
    <col min="12291" max="12292" width="1.88671875" style="19" customWidth="1"/>
    <col min="12293" max="12293" width="55.88671875" style="19" customWidth="1"/>
    <col min="12294" max="12294" width="4.6640625" style="19" customWidth="1"/>
    <col min="12295" max="12295" width="16.33203125" style="19" customWidth="1"/>
    <col min="12296" max="12296" width="15.6640625" style="19" customWidth="1"/>
    <col min="12297" max="12297" width="16.33203125" style="19" customWidth="1"/>
    <col min="12298" max="12298" width="14" style="19" customWidth="1"/>
    <col min="12299" max="12299" width="15.44140625" style="19" customWidth="1"/>
    <col min="12300" max="12302" width="15.6640625" style="19" customWidth="1"/>
    <col min="12303" max="12304" width="15.88671875" style="19" customWidth="1"/>
    <col min="12305" max="12305" width="15.6640625" style="19" customWidth="1"/>
    <col min="12306" max="12306" width="15.5546875" style="19" customWidth="1"/>
    <col min="12307" max="12307" width="16.6640625" style="19" customWidth="1"/>
    <col min="12308" max="12308" width="16.33203125" style="19" customWidth="1"/>
    <col min="12309" max="12309" width="3" style="19" customWidth="1"/>
    <col min="12310" max="12310" width="1.6640625" style="19" customWidth="1"/>
    <col min="12311" max="12312" width="0" style="19" hidden="1" customWidth="1"/>
    <col min="12313" max="12313" width="9.88671875" style="19" customWidth="1"/>
    <col min="12314" max="12314" width="0" style="19" hidden="1" customWidth="1"/>
    <col min="12315" max="12315" width="12.5546875" style="19" bestFit="1" customWidth="1"/>
    <col min="12316" max="12316" width="0" style="19" hidden="1" customWidth="1"/>
    <col min="12317" max="12319" width="8.88671875" style="19" customWidth="1"/>
    <col min="12320" max="12544" width="8.88671875" style="19"/>
    <col min="12545" max="12545" width="1.6640625" style="19" customWidth="1"/>
    <col min="12546" max="12546" width="3" style="19" customWidth="1"/>
    <col min="12547" max="12548" width="1.88671875" style="19" customWidth="1"/>
    <col min="12549" max="12549" width="55.88671875" style="19" customWidth="1"/>
    <col min="12550" max="12550" width="4.6640625" style="19" customWidth="1"/>
    <col min="12551" max="12551" width="16.33203125" style="19" customWidth="1"/>
    <col min="12552" max="12552" width="15.6640625" style="19" customWidth="1"/>
    <col min="12553" max="12553" width="16.33203125" style="19" customWidth="1"/>
    <col min="12554" max="12554" width="14" style="19" customWidth="1"/>
    <col min="12555" max="12555" width="15.44140625" style="19" customWidth="1"/>
    <col min="12556" max="12558" width="15.6640625" style="19" customWidth="1"/>
    <col min="12559" max="12560" width="15.88671875" style="19" customWidth="1"/>
    <col min="12561" max="12561" width="15.6640625" style="19" customWidth="1"/>
    <col min="12562" max="12562" width="15.5546875" style="19" customWidth="1"/>
    <col min="12563" max="12563" width="16.6640625" style="19" customWidth="1"/>
    <col min="12564" max="12564" width="16.33203125" style="19" customWidth="1"/>
    <col min="12565" max="12565" width="3" style="19" customWidth="1"/>
    <col min="12566" max="12566" width="1.6640625" style="19" customWidth="1"/>
    <col min="12567" max="12568" width="0" style="19" hidden="1" customWidth="1"/>
    <col min="12569" max="12569" width="9.88671875" style="19" customWidth="1"/>
    <col min="12570" max="12570" width="0" style="19" hidden="1" customWidth="1"/>
    <col min="12571" max="12571" width="12.5546875" style="19" bestFit="1" customWidth="1"/>
    <col min="12572" max="12572" width="0" style="19" hidden="1" customWidth="1"/>
    <col min="12573" max="12575" width="8.88671875" style="19" customWidth="1"/>
    <col min="12576" max="12800" width="8.88671875" style="19"/>
    <col min="12801" max="12801" width="1.6640625" style="19" customWidth="1"/>
    <col min="12802" max="12802" width="3" style="19" customWidth="1"/>
    <col min="12803" max="12804" width="1.88671875" style="19" customWidth="1"/>
    <col min="12805" max="12805" width="55.88671875" style="19" customWidth="1"/>
    <col min="12806" max="12806" width="4.6640625" style="19" customWidth="1"/>
    <col min="12807" max="12807" width="16.33203125" style="19" customWidth="1"/>
    <col min="12808" max="12808" width="15.6640625" style="19" customWidth="1"/>
    <col min="12809" max="12809" width="16.33203125" style="19" customWidth="1"/>
    <col min="12810" max="12810" width="14" style="19" customWidth="1"/>
    <col min="12811" max="12811" width="15.44140625" style="19" customWidth="1"/>
    <col min="12812" max="12814" width="15.6640625" style="19" customWidth="1"/>
    <col min="12815" max="12816" width="15.88671875" style="19" customWidth="1"/>
    <col min="12817" max="12817" width="15.6640625" style="19" customWidth="1"/>
    <col min="12818" max="12818" width="15.5546875" style="19" customWidth="1"/>
    <col min="12819" max="12819" width="16.6640625" style="19" customWidth="1"/>
    <col min="12820" max="12820" width="16.33203125" style="19" customWidth="1"/>
    <col min="12821" max="12821" width="3" style="19" customWidth="1"/>
    <col min="12822" max="12822" width="1.6640625" style="19" customWidth="1"/>
    <col min="12823" max="12824" width="0" style="19" hidden="1" customWidth="1"/>
    <col min="12825" max="12825" width="9.88671875" style="19" customWidth="1"/>
    <col min="12826" max="12826" width="0" style="19" hidden="1" customWidth="1"/>
    <col min="12827" max="12827" width="12.5546875" style="19" bestFit="1" customWidth="1"/>
    <col min="12828" max="12828" width="0" style="19" hidden="1" customWidth="1"/>
    <col min="12829" max="12831" width="8.88671875" style="19" customWidth="1"/>
    <col min="12832" max="13056" width="8.88671875" style="19"/>
    <col min="13057" max="13057" width="1.6640625" style="19" customWidth="1"/>
    <col min="13058" max="13058" width="3" style="19" customWidth="1"/>
    <col min="13059" max="13060" width="1.88671875" style="19" customWidth="1"/>
    <col min="13061" max="13061" width="55.88671875" style="19" customWidth="1"/>
    <col min="13062" max="13062" width="4.6640625" style="19" customWidth="1"/>
    <col min="13063" max="13063" width="16.33203125" style="19" customWidth="1"/>
    <col min="13064" max="13064" width="15.6640625" style="19" customWidth="1"/>
    <col min="13065" max="13065" width="16.33203125" style="19" customWidth="1"/>
    <col min="13066" max="13066" width="14" style="19" customWidth="1"/>
    <col min="13067" max="13067" width="15.44140625" style="19" customWidth="1"/>
    <col min="13068" max="13070" width="15.6640625" style="19" customWidth="1"/>
    <col min="13071" max="13072" width="15.88671875" style="19" customWidth="1"/>
    <col min="13073" max="13073" width="15.6640625" style="19" customWidth="1"/>
    <col min="13074" max="13074" width="15.5546875" style="19" customWidth="1"/>
    <col min="13075" max="13075" width="16.6640625" style="19" customWidth="1"/>
    <col min="13076" max="13076" width="16.33203125" style="19" customWidth="1"/>
    <col min="13077" max="13077" width="3" style="19" customWidth="1"/>
    <col min="13078" max="13078" width="1.6640625" style="19" customWidth="1"/>
    <col min="13079" max="13080" width="0" style="19" hidden="1" customWidth="1"/>
    <col min="13081" max="13081" width="9.88671875" style="19" customWidth="1"/>
    <col min="13082" max="13082" width="0" style="19" hidden="1" customWidth="1"/>
    <col min="13083" max="13083" width="12.5546875" style="19" bestFit="1" customWidth="1"/>
    <col min="13084" max="13084" width="0" style="19" hidden="1" customWidth="1"/>
    <col min="13085" max="13087" width="8.88671875" style="19" customWidth="1"/>
    <col min="13088" max="13312" width="8.88671875" style="19"/>
    <col min="13313" max="13313" width="1.6640625" style="19" customWidth="1"/>
    <col min="13314" max="13314" width="3" style="19" customWidth="1"/>
    <col min="13315" max="13316" width="1.88671875" style="19" customWidth="1"/>
    <col min="13317" max="13317" width="55.88671875" style="19" customWidth="1"/>
    <col min="13318" max="13318" width="4.6640625" style="19" customWidth="1"/>
    <col min="13319" max="13319" width="16.33203125" style="19" customWidth="1"/>
    <col min="13320" max="13320" width="15.6640625" style="19" customWidth="1"/>
    <col min="13321" max="13321" width="16.33203125" style="19" customWidth="1"/>
    <col min="13322" max="13322" width="14" style="19" customWidth="1"/>
    <col min="13323" max="13323" width="15.44140625" style="19" customWidth="1"/>
    <col min="13324" max="13326" width="15.6640625" style="19" customWidth="1"/>
    <col min="13327" max="13328" width="15.88671875" style="19" customWidth="1"/>
    <col min="13329" max="13329" width="15.6640625" style="19" customWidth="1"/>
    <col min="13330" max="13330" width="15.5546875" style="19" customWidth="1"/>
    <col min="13331" max="13331" width="16.6640625" style="19" customWidth="1"/>
    <col min="13332" max="13332" width="16.33203125" style="19" customWidth="1"/>
    <col min="13333" max="13333" width="3" style="19" customWidth="1"/>
    <col min="13334" max="13334" width="1.6640625" style="19" customWidth="1"/>
    <col min="13335" max="13336" width="0" style="19" hidden="1" customWidth="1"/>
    <col min="13337" max="13337" width="9.88671875" style="19" customWidth="1"/>
    <col min="13338" max="13338" width="0" style="19" hidden="1" customWidth="1"/>
    <col min="13339" max="13339" width="12.5546875" style="19" bestFit="1" customWidth="1"/>
    <col min="13340" max="13340" width="0" style="19" hidden="1" customWidth="1"/>
    <col min="13341" max="13343" width="8.88671875" style="19" customWidth="1"/>
    <col min="13344" max="13568" width="8.88671875" style="19"/>
    <col min="13569" max="13569" width="1.6640625" style="19" customWidth="1"/>
    <col min="13570" max="13570" width="3" style="19" customWidth="1"/>
    <col min="13571" max="13572" width="1.88671875" style="19" customWidth="1"/>
    <col min="13573" max="13573" width="55.88671875" style="19" customWidth="1"/>
    <col min="13574" max="13574" width="4.6640625" style="19" customWidth="1"/>
    <col min="13575" max="13575" width="16.33203125" style="19" customWidth="1"/>
    <col min="13576" max="13576" width="15.6640625" style="19" customWidth="1"/>
    <col min="13577" max="13577" width="16.33203125" style="19" customWidth="1"/>
    <col min="13578" max="13578" width="14" style="19" customWidth="1"/>
    <col min="13579" max="13579" width="15.44140625" style="19" customWidth="1"/>
    <col min="13580" max="13582" width="15.6640625" style="19" customWidth="1"/>
    <col min="13583" max="13584" width="15.88671875" style="19" customWidth="1"/>
    <col min="13585" max="13585" width="15.6640625" style="19" customWidth="1"/>
    <col min="13586" max="13586" width="15.5546875" style="19" customWidth="1"/>
    <col min="13587" max="13587" width="16.6640625" style="19" customWidth="1"/>
    <col min="13588" max="13588" width="16.33203125" style="19" customWidth="1"/>
    <col min="13589" max="13589" width="3" style="19" customWidth="1"/>
    <col min="13590" max="13590" width="1.6640625" style="19" customWidth="1"/>
    <col min="13591" max="13592" width="0" style="19" hidden="1" customWidth="1"/>
    <col min="13593" max="13593" width="9.88671875" style="19" customWidth="1"/>
    <col min="13594" max="13594" width="0" style="19" hidden="1" customWidth="1"/>
    <col min="13595" max="13595" width="12.5546875" style="19" bestFit="1" customWidth="1"/>
    <col min="13596" max="13596" width="0" style="19" hidden="1" customWidth="1"/>
    <col min="13597" max="13599" width="8.88671875" style="19" customWidth="1"/>
    <col min="13600" max="13824" width="8.88671875" style="19"/>
    <col min="13825" max="13825" width="1.6640625" style="19" customWidth="1"/>
    <col min="13826" max="13826" width="3" style="19" customWidth="1"/>
    <col min="13827" max="13828" width="1.88671875" style="19" customWidth="1"/>
    <col min="13829" max="13829" width="55.88671875" style="19" customWidth="1"/>
    <col min="13830" max="13830" width="4.6640625" style="19" customWidth="1"/>
    <col min="13831" max="13831" width="16.33203125" style="19" customWidth="1"/>
    <col min="13832" max="13832" width="15.6640625" style="19" customWidth="1"/>
    <col min="13833" max="13833" width="16.33203125" style="19" customWidth="1"/>
    <col min="13834" max="13834" width="14" style="19" customWidth="1"/>
    <col min="13835" max="13835" width="15.44140625" style="19" customWidth="1"/>
    <col min="13836" max="13838" width="15.6640625" style="19" customWidth="1"/>
    <col min="13839" max="13840" width="15.88671875" style="19" customWidth="1"/>
    <col min="13841" max="13841" width="15.6640625" style="19" customWidth="1"/>
    <col min="13842" max="13842" width="15.5546875" style="19" customWidth="1"/>
    <col min="13843" max="13843" width="16.6640625" style="19" customWidth="1"/>
    <col min="13844" max="13844" width="16.33203125" style="19" customWidth="1"/>
    <col min="13845" max="13845" width="3" style="19" customWidth="1"/>
    <col min="13846" max="13846" width="1.6640625" style="19" customWidth="1"/>
    <col min="13847" max="13848" width="0" style="19" hidden="1" customWidth="1"/>
    <col min="13849" max="13849" width="9.88671875" style="19" customWidth="1"/>
    <col min="13850" max="13850" width="0" style="19" hidden="1" customWidth="1"/>
    <col min="13851" max="13851" width="12.5546875" style="19" bestFit="1" customWidth="1"/>
    <col min="13852" max="13852" width="0" style="19" hidden="1" customWidth="1"/>
    <col min="13853" max="13855" width="8.88671875" style="19" customWidth="1"/>
    <col min="13856" max="14080" width="8.88671875" style="19"/>
    <col min="14081" max="14081" width="1.6640625" style="19" customWidth="1"/>
    <col min="14082" max="14082" width="3" style="19" customWidth="1"/>
    <col min="14083" max="14084" width="1.88671875" style="19" customWidth="1"/>
    <col min="14085" max="14085" width="55.88671875" style="19" customWidth="1"/>
    <col min="14086" max="14086" width="4.6640625" style="19" customWidth="1"/>
    <col min="14087" max="14087" width="16.33203125" style="19" customWidth="1"/>
    <col min="14088" max="14088" width="15.6640625" style="19" customWidth="1"/>
    <col min="14089" max="14089" width="16.33203125" style="19" customWidth="1"/>
    <col min="14090" max="14090" width="14" style="19" customWidth="1"/>
    <col min="14091" max="14091" width="15.44140625" style="19" customWidth="1"/>
    <col min="14092" max="14094" width="15.6640625" style="19" customWidth="1"/>
    <col min="14095" max="14096" width="15.88671875" style="19" customWidth="1"/>
    <col min="14097" max="14097" width="15.6640625" style="19" customWidth="1"/>
    <col min="14098" max="14098" width="15.5546875" style="19" customWidth="1"/>
    <col min="14099" max="14099" width="16.6640625" style="19" customWidth="1"/>
    <col min="14100" max="14100" width="16.33203125" style="19" customWidth="1"/>
    <col min="14101" max="14101" width="3" style="19" customWidth="1"/>
    <col min="14102" max="14102" width="1.6640625" style="19" customWidth="1"/>
    <col min="14103" max="14104" width="0" style="19" hidden="1" customWidth="1"/>
    <col min="14105" max="14105" width="9.88671875" style="19" customWidth="1"/>
    <col min="14106" max="14106" width="0" style="19" hidden="1" customWidth="1"/>
    <col min="14107" max="14107" width="12.5546875" style="19" bestFit="1" customWidth="1"/>
    <col min="14108" max="14108" width="0" style="19" hidden="1" customWidth="1"/>
    <col min="14109" max="14111" width="8.88671875" style="19" customWidth="1"/>
    <col min="14112" max="14336" width="8.88671875" style="19"/>
    <col min="14337" max="14337" width="1.6640625" style="19" customWidth="1"/>
    <col min="14338" max="14338" width="3" style="19" customWidth="1"/>
    <col min="14339" max="14340" width="1.88671875" style="19" customWidth="1"/>
    <col min="14341" max="14341" width="55.88671875" style="19" customWidth="1"/>
    <col min="14342" max="14342" width="4.6640625" style="19" customWidth="1"/>
    <col min="14343" max="14343" width="16.33203125" style="19" customWidth="1"/>
    <col min="14344" max="14344" width="15.6640625" style="19" customWidth="1"/>
    <col min="14345" max="14345" width="16.33203125" style="19" customWidth="1"/>
    <col min="14346" max="14346" width="14" style="19" customWidth="1"/>
    <col min="14347" max="14347" width="15.44140625" style="19" customWidth="1"/>
    <col min="14348" max="14350" width="15.6640625" style="19" customWidth="1"/>
    <col min="14351" max="14352" width="15.88671875" style="19" customWidth="1"/>
    <col min="14353" max="14353" width="15.6640625" style="19" customWidth="1"/>
    <col min="14354" max="14354" width="15.5546875" style="19" customWidth="1"/>
    <col min="14355" max="14355" width="16.6640625" style="19" customWidth="1"/>
    <col min="14356" max="14356" width="16.33203125" style="19" customWidth="1"/>
    <col min="14357" max="14357" width="3" style="19" customWidth="1"/>
    <col min="14358" max="14358" width="1.6640625" style="19" customWidth="1"/>
    <col min="14359" max="14360" width="0" style="19" hidden="1" customWidth="1"/>
    <col min="14361" max="14361" width="9.88671875" style="19" customWidth="1"/>
    <col min="14362" max="14362" width="0" style="19" hidden="1" customWidth="1"/>
    <col min="14363" max="14363" width="12.5546875" style="19" bestFit="1" customWidth="1"/>
    <col min="14364" max="14364" width="0" style="19" hidden="1" customWidth="1"/>
    <col min="14365" max="14367" width="8.88671875" style="19" customWidth="1"/>
    <col min="14368" max="14592" width="8.88671875" style="19"/>
    <col min="14593" max="14593" width="1.6640625" style="19" customWidth="1"/>
    <col min="14594" max="14594" width="3" style="19" customWidth="1"/>
    <col min="14595" max="14596" width="1.88671875" style="19" customWidth="1"/>
    <col min="14597" max="14597" width="55.88671875" style="19" customWidth="1"/>
    <col min="14598" max="14598" width="4.6640625" style="19" customWidth="1"/>
    <col min="14599" max="14599" width="16.33203125" style="19" customWidth="1"/>
    <col min="14600" max="14600" width="15.6640625" style="19" customWidth="1"/>
    <col min="14601" max="14601" width="16.33203125" style="19" customWidth="1"/>
    <col min="14602" max="14602" width="14" style="19" customWidth="1"/>
    <col min="14603" max="14603" width="15.44140625" style="19" customWidth="1"/>
    <col min="14604" max="14606" width="15.6640625" style="19" customWidth="1"/>
    <col min="14607" max="14608" width="15.88671875" style="19" customWidth="1"/>
    <col min="14609" max="14609" width="15.6640625" style="19" customWidth="1"/>
    <col min="14610" max="14610" width="15.5546875" style="19" customWidth="1"/>
    <col min="14611" max="14611" width="16.6640625" style="19" customWidth="1"/>
    <col min="14612" max="14612" width="16.33203125" style="19" customWidth="1"/>
    <col min="14613" max="14613" width="3" style="19" customWidth="1"/>
    <col min="14614" max="14614" width="1.6640625" style="19" customWidth="1"/>
    <col min="14615" max="14616" width="0" style="19" hidden="1" customWidth="1"/>
    <col min="14617" max="14617" width="9.88671875" style="19" customWidth="1"/>
    <col min="14618" max="14618" width="0" style="19" hidden="1" customWidth="1"/>
    <col min="14619" max="14619" width="12.5546875" style="19" bestFit="1" customWidth="1"/>
    <col min="14620" max="14620" width="0" style="19" hidden="1" customWidth="1"/>
    <col min="14621" max="14623" width="8.88671875" style="19" customWidth="1"/>
    <col min="14624" max="14848" width="8.88671875" style="19"/>
    <col min="14849" max="14849" width="1.6640625" style="19" customWidth="1"/>
    <col min="14850" max="14850" width="3" style="19" customWidth="1"/>
    <col min="14851" max="14852" width="1.88671875" style="19" customWidth="1"/>
    <col min="14853" max="14853" width="55.88671875" style="19" customWidth="1"/>
    <col min="14854" max="14854" width="4.6640625" style="19" customWidth="1"/>
    <col min="14855" max="14855" width="16.33203125" style="19" customWidth="1"/>
    <col min="14856" max="14856" width="15.6640625" style="19" customWidth="1"/>
    <col min="14857" max="14857" width="16.33203125" style="19" customWidth="1"/>
    <col min="14858" max="14858" width="14" style="19" customWidth="1"/>
    <col min="14859" max="14859" width="15.44140625" style="19" customWidth="1"/>
    <col min="14860" max="14862" width="15.6640625" style="19" customWidth="1"/>
    <col min="14863" max="14864" width="15.88671875" style="19" customWidth="1"/>
    <col min="14865" max="14865" width="15.6640625" style="19" customWidth="1"/>
    <col min="14866" max="14866" width="15.5546875" style="19" customWidth="1"/>
    <col min="14867" max="14867" width="16.6640625" style="19" customWidth="1"/>
    <col min="14868" max="14868" width="16.33203125" style="19" customWidth="1"/>
    <col min="14869" max="14869" width="3" style="19" customWidth="1"/>
    <col min="14870" max="14870" width="1.6640625" style="19" customWidth="1"/>
    <col min="14871" max="14872" width="0" style="19" hidden="1" customWidth="1"/>
    <col min="14873" max="14873" width="9.88671875" style="19" customWidth="1"/>
    <col min="14874" max="14874" width="0" style="19" hidden="1" customWidth="1"/>
    <col min="14875" max="14875" width="12.5546875" style="19" bestFit="1" customWidth="1"/>
    <col min="14876" max="14876" width="0" style="19" hidden="1" customWidth="1"/>
    <col min="14877" max="14879" width="8.88671875" style="19" customWidth="1"/>
    <col min="14880" max="15104" width="8.88671875" style="19"/>
    <col min="15105" max="15105" width="1.6640625" style="19" customWidth="1"/>
    <col min="15106" max="15106" width="3" style="19" customWidth="1"/>
    <col min="15107" max="15108" width="1.88671875" style="19" customWidth="1"/>
    <col min="15109" max="15109" width="55.88671875" style="19" customWidth="1"/>
    <col min="15110" max="15110" width="4.6640625" style="19" customWidth="1"/>
    <col min="15111" max="15111" width="16.33203125" style="19" customWidth="1"/>
    <col min="15112" max="15112" width="15.6640625" style="19" customWidth="1"/>
    <col min="15113" max="15113" width="16.33203125" style="19" customWidth="1"/>
    <col min="15114" max="15114" width="14" style="19" customWidth="1"/>
    <col min="15115" max="15115" width="15.44140625" style="19" customWidth="1"/>
    <col min="15116" max="15118" width="15.6640625" style="19" customWidth="1"/>
    <col min="15119" max="15120" width="15.88671875" style="19" customWidth="1"/>
    <col min="15121" max="15121" width="15.6640625" style="19" customWidth="1"/>
    <col min="15122" max="15122" width="15.5546875" style="19" customWidth="1"/>
    <col min="15123" max="15123" width="16.6640625" style="19" customWidth="1"/>
    <col min="15124" max="15124" width="16.33203125" style="19" customWidth="1"/>
    <col min="15125" max="15125" width="3" style="19" customWidth="1"/>
    <col min="15126" max="15126" width="1.6640625" style="19" customWidth="1"/>
    <col min="15127" max="15128" width="0" style="19" hidden="1" customWidth="1"/>
    <col min="15129" max="15129" width="9.88671875" style="19" customWidth="1"/>
    <col min="15130" max="15130" width="0" style="19" hidden="1" customWidth="1"/>
    <col min="15131" max="15131" width="12.5546875" style="19" bestFit="1" customWidth="1"/>
    <col min="15132" max="15132" width="0" style="19" hidden="1" customWidth="1"/>
    <col min="15133" max="15135" width="8.88671875" style="19" customWidth="1"/>
    <col min="15136" max="15360" width="8.88671875" style="19"/>
    <col min="15361" max="15361" width="1.6640625" style="19" customWidth="1"/>
    <col min="15362" max="15362" width="3" style="19" customWidth="1"/>
    <col min="15363" max="15364" width="1.88671875" style="19" customWidth="1"/>
    <col min="15365" max="15365" width="55.88671875" style="19" customWidth="1"/>
    <col min="15366" max="15366" width="4.6640625" style="19" customWidth="1"/>
    <col min="15367" max="15367" width="16.33203125" style="19" customWidth="1"/>
    <col min="15368" max="15368" width="15.6640625" style="19" customWidth="1"/>
    <col min="15369" max="15369" width="16.33203125" style="19" customWidth="1"/>
    <col min="15370" max="15370" width="14" style="19" customWidth="1"/>
    <col min="15371" max="15371" width="15.44140625" style="19" customWidth="1"/>
    <col min="15372" max="15374" width="15.6640625" style="19" customWidth="1"/>
    <col min="15375" max="15376" width="15.88671875" style="19" customWidth="1"/>
    <col min="15377" max="15377" width="15.6640625" style="19" customWidth="1"/>
    <col min="15378" max="15378" width="15.5546875" style="19" customWidth="1"/>
    <col min="15379" max="15379" width="16.6640625" style="19" customWidth="1"/>
    <col min="15380" max="15380" width="16.33203125" style="19" customWidth="1"/>
    <col min="15381" max="15381" width="3" style="19" customWidth="1"/>
    <col min="15382" max="15382" width="1.6640625" style="19" customWidth="1"/>
    <col min="15383" max="15384" width="0" style="19" hidden="1" customWidth="1"/>
    <col min="15385" max="15385" width="9.88671875" style="19" customWidth="1"/>
    <col min="15386" max="15386" width="0" style="19" hidden="1" customWidth="1"/>
    <col min="15387" max="15387" width="12.5546875" style="19" bestFit="1" customWidth="1"/>
    <col min="15388" max="15388" width="0" style="19" hidden="1" customWidth="1"/>
    <col min="15389" max="15391" width="8.88671875" style="19" customWidth="1"/>
    <col min="15392" max="15616" width="8.88671875" style="19"/>
    <col min="15617" max="15617" width="1.6640625" style="19" customWidth="1"/>
    <col min="15618" max="15618" width="3" style="19" customWidth="1"/>
    <col min="15619" max="15620" width="1.88671875" style="19" customWidth="1"/>
    <col min="15621" max="15621" width="55.88671875" style="19" customWidth="1"/>
    <col min="15622" max="15622" width="4.6640625" style="19" customWidth="1"/>
    <col min="15623" max="15623" width="16.33203125" style="19" customWidth="1"/>
    <col min="15624" max="15624" width="15.6640625" style="19" customWidth="1"/>
    <col min="15625" max="15625" width="16.33203125" style="19" customWidth="1"/>
    <col min="15626" max="15626" width="14" style="19" customWidth="1"/>
    <col min="15627" max="15627" width="15.44140625" style="19" customWidth="1"/>
    <col min="15628" max="15630" width="15.6640625" style="19" customWidth="1"/>
    <col min="15631" max="15632" width="15.88671875" style="19" customWidth="1"/>
    <col min="15633" max="15633" width="15.6640625" style="19" customWidth="1"/>
    <col min="15634" max="15634" width="15.5546875" style="19" customWidth="1"/>
    <col min="15635" max="15635" width="16.6640625" style="19" customWidth="1"/>
    <col min="15636" max="15636" width="16.33203125" style="19" customWidth="1"/>
    <col min="15637" max="15637" width="3" style="19" customWidth="1"/>
    <col min="15638" max="15638" width="1.6640625" style="19" customWidth="1"/>
    <col min="15639" max="15640" width="0" style="19" hidden="1" customWidth="1"/>
    <col min="15641" max="15641" width="9.88671875" style="19" customWidth="1"/>
    <col min="15642" max="15642" width="0" style="19" hidden="1" customWidth="1"/>
    <col min="15643" max="15643" width="12.5546875" style="19" bestFit="1" customWidth="1"/>
    <col min="15644" max="15644" width="0" style="19" hidden="1" customWidth="1"/>
    <col min="15645" max="15647" width="8.88671875" style="19" customWidth="1"/>
    <col min="15648" max="15872" width="8.88671875" style="19"/>
    <col min="15873" max="15873" width="1.6640625" style="19" customWidth="1"/>
    <col min="15874" max="15874" width="3" style="19" customWidth="1"/>
    <col min="15875" max="15876" width="1.88671875" style="19" customWidth="1"/>
    <col min="15877" max="15877" width="55.88671875" style="19" customWidth="1"/>
    <col min="15878" max="15878" width="4.6640625" style="19" customWidth="1"/>
    <col min="15879" max="15879" width="16.33203125" style="19" customWidth="1"/>
    <col min="15880" max="15880" width="15.6640625" style="19" customWidth="1"/>
    <col min="15881" max="15881" width="16.33203125" style="19" customWidth="1"/>
    <col min="15882" max="15882" width="14" style="19" customWidth="1"/>
    <col min="15883" max="15883" width="15.44140625" style="19" customWidth="1"/>
    <col min="15884" max="15886" width="15.6640625" style="19" customWidth="1"/>
    <col min="15887" max="15888" width="15.88671875" style="19" customWidth="1"/>
    <col min="15889" max="15889" width="15.6640625" style="19" customWidth="1"/>
    <col min="15890" max="15890" width="15.5546875" style="19" customWidth="1"/>
    <col min="15891" max="15891" width="16.6640625" style="19" customWidth="1"/>
    <col min="15892" max="15892" width="16.33203125" style="19" customWidth="1"/>
    <col min="15893" max="15893" width="3" style="19" customWidth="1"/>
    <col min="15894" max="15894" width="1.6640625" style="19" customWidth="1"/>
    <col min="15895" max="15896" width="0" style="19" hidden="1" customWidth="1"/>
    <col min="15897" max="15897" width="9.88671875" style="19" customWidth="1"/>
    <col min="15898" max="15898" width="0" style="19" hidden="1" customWidth="1"/>
    <col min="15899" max="15899" width="12.5546875" style="19" bestFit="1" customWidth="1"/>
    <col min="15900" max="15900" width="0" style="19" hidden="1" customWidth="1"/>
    <col min="15901" max="15903" width="8.88671875" style="19" customWidth="1"/>
    <col min="15904" max="16128" width="8.88671875" style="19"/>
    <col min="16129" max="16129" width="1.6640625" style="19" customWidth="1"/>
    <col min="16130" max="16130" width="3" style="19" customWidth="1"/>
    <col min="16131" max="16132" width="1.88671875" style="19" customWidth="1"/>
    <col min="16133" max="16133" width="55.88671875" style="19" customWidth="1"/>
    <col min="16134" max="16134" width="4.6640625" style="19" customWidth="1"/>
    <col min="16135" max="16135" width="16.33203125" style="19" customWidth="1"/>
    <col min="16136" max="16136" width="15.6640625" style="19" customWidth="1"/>
    <col min="16137" max="16137" width="16.33203125" style="19" customWidth="1"/>
    <col min="16138" max="16138" width="14" style="19" customWidth="1"/>
    <col min="16139" max="16139" width="15.44140625" style="19" customWidth="1"/>
    <col min="16140" max="16142" width="15.6640625" style="19" customWidth="1"/>
    <col min="16143" max="16144" width="15.88671875" style="19" customWidth="1"/>
    <col min="16145" max="16145" width="15.6640625" style="19" customWidth="1"/>
    <col min="16146" max="16146" width="15.5546875" style="19" customWidth="1"/>
    <col min="16147" max="16147" width="16.6640625" style="19" customWidth="1"/>
    <col min="16148" max="16148" width="16.33203125" style="19" customWidth="1"/>
    <col min="16149" max="16149" width="3" style="19" customWidth="1"/>
    <col min="16150" max="16150" width="1.6640625" style="19" customWidth="1"/>
    <col min="16151" max="16152" width="0" style="19" hidden="1" customWidth="1"/>
    <col min="16153" max="16153" width="9.88671875" style="19" customWidth="1"/>
    <col min="16154" max="16154" width="0" style="19" hidden="1" customWidth="1"/>
    <col min="16155" max="16155" width="12.5546875" style="19" bestFit="1" customWidth="1"/>
    <col min="16156" max="16156" width="0" style="19" hidden="1" customWidth="1"/>
    <col min="16157" max="16159" width="8.88671875" style="19" customWidth="1"/>
    <col min="16160" max="16384" width="8.88671875" style="19"/>
  </cols>
  <sheetData>
    <row r="1" spans="1:27" ht="12.75" x14ac:dyDescent="0.2">
      <c r="B1" s="39"/>
      <c r="C1" s="39"/>
      <c r="D1" s="39"/>
      <c r="E1" s="388"/>
      <c r="F1" s="139"/>
      <c r="G1" s="39"/>
      <c r="H1" s="39"/>
      <c r="I1" s="39"/>
      <c r="J1" s="39"/>
      <c r="K1" s="39"/>
      <c r="L1" s="39"/>
      <c r="M1" s="39"/>
      <c r="N1" s="575"/>
      <c r="O1" s="575"/>
      <c r="P1" s="39"/>
      <c r="Q1" s="575"/>
      <c r="R1" s="576"/>
      <c r="S1" s="39"/>
      <c r="T1" s="577"/>
      <c r="U1" s="39"/>
    </row>
    <row r="2" spans="1:27" ht="12.75" x14ac:dyDescent="0.2">
      <c r="A2" s="39"/>
      <c r="B2" s="39"/>
      <c r="C2" s="39"/>
      <c r="D2" s="39"/>
      <c r="E2" s="39"/>
      <c r="F2" s="55"/>
      <c r="G2" s="39"/>
      <c r="H2" s="39"/>
      <c r="I2" s="39"/>
      <c r="J2" s="39"/>
      <c r="K2" s="575"/>
      <c r="L2" s="576"/>
      <c r="M2" s="576"/>
      <c r="N2" s="575"/>
      <c r="O2" s="578"/>
      <c r="P2" s="39"/>
      <c r="Q2" s="575"/>
      <c r="R2" s="39"/>
      <c r="S2" s="39"/>
      <c r="T2" s="579"/>
      <c r="U2" s="39"/>
      <c r="V2" s="39"/>
    </row>
    <row r="3" spans="1:27" ht="12.75" x14ac:dyDescent="0.2">
      <c r="A3" s="39"/>
      <c r="B3" s="39"/>
      <c r="C3" s="39"/>
      <c r="D3" s="39"/>
      <c r="E3" s="39"/>
      <c r="F3" s="55"/>
      <c r="G3" s="39"/>
      <c r="H3" s="39"/>
      <c r="I3" s="39"/>
      <c r="J3" s="39"/>
      <c r="K3" s="580"/>
      <c r="L3" s="576"/>
      <c r="M3" s="581"/>
      <c r="N3" s="575"/>
      <c r="O3" s="576"/>
      <c r="P3" s="576"/>
      <c r="Q3" s="576"/>
      <c r="R3" s="576"/>
      <c r="S3" s="576"/>
      <c r="T3" s="576"/>
      <c r="U3" s="39"/>
      <c r="V3" s="39"/>
    </row>
    <row r="4" spans="1:27" ht="12.75" x14ac:dyDescent="0.2">
      <c r="A4" s="39"/>
      <c r="B4" s="39"/>
      <c r="D4" s="39"/>
      <c r="E4" s="39"/>
      <c r="F4" s="55"/>
      <c r="G4" s="39"/>
      <c r="H4" s="39"/>
      <c r="I4" s="39"/>
      <c r="J4" s="39"/>
      <c r="K4" s="39"/>
      <c r="L4" s="39"/>
      <c r="M4" s="39"/>
      <c r="N4" s="39"/>
      <c r="O4" s="39"/>
      <c r="P4" s="39"/>
      <c r="Q4" s="39"/>
      <c r="R4" s="39"/>
      <c r="S4" s="39"/>
      <c r="T4" s="388"/>
      <c r="U4" s="39"/>
      <c r="V4" s="39"/>
    </row>
    <row r="5" spans="1:27" ht="15.75" x14ac:dyDescent="0.25">
      <c r="A5" s="39"/>
      <c r="B5" s="39"/>
      <c r="C5" s="6" t="s">
        <v>537</v>
      </c>
      <c r="D5" s="39"/>
      <c r="E5" s="39"/>
      <c r="F5" s="55"/>
      <c r="G5" s="39"/>
      <c r="H5" s="39"/>
      <c r="I5" s="39"/>
      <c r="J5" s="39"/>
      <c r="K5" s="39"/>
      <c r="L5" s="39"/>
      <c r="M5" s="39"/>
      <c r="N5" s="39"/>
      <c r="O5" s="39"/>
      <c r="P5" s="39"/>
      <c r="Q5" s="39"/>
      <c r="R5" s="39"/>
      <c r="S5" s="39"/>
      <c r="T5" s="39"/>
      <c r="U5" s="39"/>
      <c r="V5" s="39"/>
      <c r="W5" s="38"/>
    </row>
    <row r="6" spans="1:27" ht="12.75" x14ac:dyDescent="0.2">
      <c r="A6" s="39"/>
      <c r="B6" s="582"/>
      <c r="C6" s="583"/>
      <c r="D6" s="584"/>
      <c r="E6" s="584"/>
      <c r="F6" s="585"/>
      <c r="G6" s="725" t="s">
        <v>3</v>
      </c>
      <c r="H6" s="726"/>
      <c r="I6" s="726"/>
      <c r="J6" s="726"/>
      <c r="K6" s="726"/>
      <c r="L6" s="726"/>
      <c r="M6" s="726"/>
      <c r="N6" s="726"/>
      <c r="O6" s="726"/>
      <c r="P6" s="726"/>
      <c r="Q6" s="726"/>
      <c r="R6" s="726"/>
      <c r="S6" s="726"/>
      <c r="T6" s="727"/>
      <c r="U6" s="18"/>
      <c r="V6" s="39"/>
    </row>
    <row r="7" spans="1:27" ht="15.75" customHeight="1" x14ac:dyDescent="0.2">
      <c r="A7" s="39"/>
      <c r="B7" s="582"/>
      <c r="C7" s="16"/>
      <c r="D7" s="7"/>
      <c r="E7" s="7"/>
      <c r="F7" s="586"/>
      <c r="G7" s="587" t="s">
        <v>4</v>
      </c>
      <c r="H7" s="588" t="s">
        <v>5</v>
      </c>
      <c r="I7" s="588" t="s">
        <v>6</v>
      </c>
      <c r="J7" s="588" t="s">
        <v>7</v>
      </c>
      <c r="K7" s="588" t="s">
        <v>8</v>
      </c>
      <c r="L7" s="587" t="s">
        <v>9</v>
      </c>
      <c r="M7" s="587" t="s">
        <v>10</v>
      </c>
      <c r="N7" s="588" t="s">
        <v>11</v>
      </c>
      <c r="O7" s="587" t="s">
        <v>12</v>
      </c>
      <c r="P7" s="588" t="s">
        <v>13</v>
      </c>
      <c r="Q7" s="587" t="s">
        <v>14</v>
      </c>
      <c r="R7" s="588" t="s">
        <v>15</v>
      </c>
      <c r="S7" s="587" t="s">
        <v>16</v>
      </c>
      <c r="T7" s="587" t="s">
        <v>17</v>
      </c>
      <c r="U7" s="18"/>
      <c r="V7" s="39"/>
      <c r="W7" s="581"/>
    </row>
    <row r="8" spans="1:27" ht="12.75" x14ac:dyDescent="0.2">
      <c r="A8" s="39"/>
      <c r="B8" s="582"/>
      <c r="C8" s="25" t="s">
        <v>18</v>
      </c>
      <c r="D8" s="26"/>
      <c r="E8" s="26"/>
      <c r="F8" s="30"/>
      <c r="G8" s="589" t="s">
        <v>20</v>
      </c>
      <c r="H8" s="590"/>
      <c r="I8" s="591"/>
      <c r="J8" s="591"/>
      <c r="K8" s="591"/>
      <c r="L8" s="591"/>
      <c r="M8" s="591"/>
      <c r="N8" s="591"/>
      <c r="O8" s="591"/>
      <c r="P8" s="591"/>
      <c r="Q8" s="591"/>
      <c r="R8" s="591"/>
      <c r="S8" s="591"/>
      <c r="T8" s="591"/>
      <c r="U8" s="18"/>
      <c r="V8" s="39"/>
      <c r="W8" s="43"/>
    </row>
    <row r="9" spans="1:27" ht="12.75" x14ac:dyDescent="0.2">
      <c r="A9" s="39"/>
      <c r="B9" s="582"/>
      <c r="C9" s="18"/>
      <c r="D9" s="39"/>
      <c r="E9" s="39"/>
      <c r="F9" s="55"/>
      <c r="G9" s="45"/>
      <c r="H9" s="592"/>
      <c r="I9" s="592"/>
      <c r="J9" s="592"/>
      <c r="K9" s="592"/>
      <c r="L9" s="592"/>
      <c r="M9" s="592"/>
      <c r="N9" s="592"/>
      <c r="O9" s="592"/>
      <c r="P9" s="592"/>
      <c r="Q9" s="592"/>
      <c r="R9" s="592"/>
      <c r="S9" s="592"/>
      <c r="T9" s="592"/>
      <c r="U9" s="18"/>
      <c r="V9" s="39"/>
      <c r="W9" s="43"/>
    </row>
    <row r="10" spans="1:27" ht="12.75" x14ac:dyDescent="0.2">
      <c r="A10" s="39"/>
      <c r="B10" s="582"/>
      <c r="C10" s="16" t="s">
        <v>538</v>
      </c>
      <c r="D10" s="7"/>
      <c r="E10" s="7"/>
      <c r="F10" s="593" t="s">
        <v>539</v>
      </c>
      <c r="G10" s="123">
        <f>+'[1]Statement 1'!$H$114</f>
        <v>1200785660.997653</v>
      </c>
      <c r="H10" s="123">
        <f>60646659+[41]original!$G$6</f>
        <v>61883148</v>
      </c>
      <c r="I10" s="123">
        <f>65162652+[42]original!$H$6</f>
        <v>67969792</v>
      </c>
      <c r="J10" s="123">
        <f>104858542+[43]original!$I$6</f>
        <v>108178496</v>
      </c>
      <c r="K10" s="123">
        <f>60475649+[44]original!$J$6</f>
        <v>64025972</v>
      </c>
      <c r="L10" s="123">
        <f>99919009+[45]original!$K$6</f>
        <v>103080516</v>
      </c>
      <c r="M10" s="123">
        <f>105747295+[46]original!$L$6</f>
        <v>107688872</v>
      </c>
      <c r="N10" s="123">
        <f>81330957+[47]original!$M$6</f>
        <v>83912369</v>
      </c>
      <c r="O10" s="123">
        <f>97229138+[48]original!$N$6</f>
        <v>98129696</v>
      </c>
      <c r="P10" s="123">
        <f>177385123+[49]original!$O$6</f>
        <v>180084076</v>
      </c>
      <c r="Q10" s="123">
        <f>82923943+[50]original!$P$6</f>
        <v>84284663</v>
      </c>
      <c r="R10" s="123">
        <f>132667037+[40]original!$Q$6</f>
        <v>133241261</v>
      </c>
      <c r="S10" s="123">
        <f>145339454+[66]original!$R$6</f>
        <v>146976515</v>
      </c>
      <c r="T10" s="123">
        <f>SUM(H10:S10)</f>
        <v>1239455376</v>
      </c>
      <c r="U10" s="42"/>
      <c r="V10" s="55"/>
      <c r="W10" s="43" t="e">
        <f>#REF!-#REF!</f>
        <v>#REF!</v>
      </c>
      <c r="X10" s="38" t="e">
        <f>SUM(#REF!)-#REF!</f>
        <v>#REF!</v>
      </c>
      <c r="Y10" s="38"/>
      <c r="Z10" s="581"/>
    </row>
    <row r="11" spans="1:27" ht="12.75" x14ac:dyDescent="0.2">
      <c r="A11" s="39"/>
      <c r="B11" s="582"/>
      <c r="C11" s="16"/>
      <c r="D11" s="7"/>
      <c r="E11" s="7"/>
      <c r="F11" s="55"/>
      <c r="G11" s="126"/>
      <c r="H11" s="123"/>
      <c r="I11" s="123"/>
      <c r="J11" s="123"/>
      <c r="K11" s="123"/>
      <c r="L11" s="123"/>
      <c r="M11" s="123"/>
      <c r="N11" s="123"/>
      <c r="O11" s="123"/>
      <c r="P11" s="123"/>
      <c r="Q11" s="123"/>
      <c r="R11" s="123"/>
      <c r="S11" s="123"/>
      <c r="T11" s="123"/>
      <c r="U11" s="42"/>
      <c r="V11" s="55"/>
      <c r="W11" s="43"/>
      <c r="X11" s="38"/>
      <c r="Y11" s="38"/>
    </row>
    <row r="12" spans="1:27" ht="12.75" x14ac:dyDescent="0.2">
      <c r="A12" s="39"/>
      <c r="B12" s="582"/>
      <c r="C12" s="16" t="s">
        <v>540</v>
      </c>
      <c r="D12" s="7"/>
      <c r="E12" s="7"/>
      <c r="F12" s="593" t="s">
        <v>541</v>
      </c>
      <c r="G12" s="126">
        <f>+G14+G16+G23+G24</f>
        <v>1804174081</v>
      </c>
      <c r="H12" s="126">
        <f>147198355-[41]original!$G$40</f>
        <v>147198373</v>
      </c>
      <c r="I12" s="126">
        <f>119561760-[42]original!$H$40</f>
        <v>119673094</v>
      </c>
      <c r="J12" s="126">
        <f>134004037-[43]original!$I$40</f>
        <v>134004039</v>
      </c>
      <c r="K12" s="126">
        <f>159426148-[44]original!$J$40</f>
        <v>159426148</v>
      </c>
      <c r="L12" s="126">
        <f>203163670-[45]original!$K$40</f>
        <v>203163671</v>
      </c>
      <c r="M12" s="126">
        <f>140138852-[46]original!$L$40</f>
        <v>140205112</v>
      </c>
      <c r="N12" s="126">
        <f>146876026-[47]original!$M$40</f>
        <v>146876286</v>
      </c>
      <c r="O12" s="126">
        <f>120040467-[48]original!$N$40</f>
        <v>120040467</v>
      </c>
      <c r="P12" s="126">
        <f>169099001-[49]original!$O$40</f>
        <v>169099003</v>
      </c>
      <c r="Q12" s="126">
        <f>194286386-[50]original!$P$40</f>
        <v>194286394</v>
      </c>
      <c r="R12" s="126">
        <f>149203104-[40]original!$Q$40</f>
        <v>149613476</v>
      </c>
      <c r="S12" s="126">
        <f>125719140-[66]original!$R$40</f>
        <v>125719226</v>
      </c>
      <c r="T12" s="126">
        <f>SUM(H12:S12)</f>
        <v>1809305289</v>
      </c>
      <c r="U12" s="42"/>
      <c r="V12" s="139"/>
      <c r="W12" s="594" t="e">
        <f>#REF!-#REF!</f>
        <v>#REF!</v>
      </c>
      <c r="X12" s="38" t="e">
        <f>SUM(#REF!)-#REF!</f>
        <v>#REF!</v>
      </c>
      <c r="Y12" s="38"/>
      <c r="Z12" s="581"/>
      <c r="AA12" s="43"/>
    </row>
    <row r="13" spans="1:27" ht="12.75" x14ac:dyDescent="0.2">
      <c r="A13" s="39"/>
      <c r="B13" s="582"/>
      <c r="C13" s="18"/>
      <c r="D13" s="39"/>
      <c r="E13" s="39"/>
      <c r="F13" s="55"/>
      <c r="G13" s="595"/>
      <c r="H13" s="596"/>
      <c r="I13" s="596"/>
      <c r="J13" s="596"/>
      <c r="K13" s="596"/>
      <c r="L13" s="596"/>
      <c r="M13" s="596"/>
      <c r="N13" s="218"/>
      <c r="O13" s="596"/>
      <c r="P13" s="596"/>
      <c r="Q13" s="596"/>
      <c r="R13" s="596"/>
      <c r="S13" s="596"/>
      <c r="T13" s="596"/>
      <c r="U13" s="42"/>
      <c r="V13" s="55"/>
      <c r="W13" s="43"/>
      <c r="X13" s="38"/>
      <c r="Y13" s="38"/>
      <c r="Z13" s="581"/>
      <c r="AA13" s="43"/>
    </row>
    <row r="14" spans="1:27" ht="12.75" x14ac:dyDescent="0.2">
      <c r="A14" s="39"/>
      <c r="B14" s="582"/>
      <c r="C14" s="18"/>
      <c r="D14" s="39" t="s">
        <v>542</v>
      </c>
      <c r="E14" s="39"/>
      <c r="F14" s="593" t="s">
        <v>543</v>
      </c>
      <c r="G14" s="595">
        <f>+'[12]20-21'!$I$48</f>
        <v>1025349737</v>
      </c>
      <c r="H14" s="595">
        <f t="shared" ref="H14:M14" si="0">+H12-H16-H23</f>
        <v>96157178.437030002</v>
      </c>
      <c r="I14" s="596">
        <f t="shared" si="0"/>
        <v>70971442.12861</v>
      </c>
      <c r="J14" s="596">
        <f t="shared" si="0"/>
        <v>65195759.902989998</v>
      </c>
      <c r="K14" s="596">
        <f t="shared" si="0"/>
        <v>81267378</v>
      </c>
      <c r="L14" s="596">
        <f t="shared" si="0"/>
        <v>122129101</v>
      </c>
      <c r="M14" s="596">
        <f t="shared" si="0"/>
        <v>74871798</v>
      </c>
      <c r="N14" s="596">
        <f>+N12-N16</f>
        <v>98137525.447679996</v>
      </c>
      <c r="O14" s="596">
        <f>+O12-O16-O23</f>
        <v>72413269</v>
      </c>
      <c r="P14" s="596">
        <f>+P12-P16-P23</f>
        <v>92854411</v>
      </c>
      <c r="Q14" s="596">
        <f>+Q12-Q16-Q23</f>
        <v>114583554</v>
      </c>
      <c r="R14" s="596">
        <f>+R12-R16-R23</f>
        <v>79535840</v>
      </c>
      <c r="S14" s="596">
        <f>+S12-S16-S23</f>
        <v>56950817</v>
      </c>
      <c r="T14" s="218">
        <f>SUM(H14:S14)</f>
        <v>1025068073.9163101</v>
      </c>
      <c r="U14" s="42"/>
      <c r="V14" s="55"/>
      <c r="W14" s="43" t="e">
        <f>#REF!-#REF!</f>
        <v>#REF!</v>
      </c>
      <c r="X14" s="38" t="e">
        <f>SUM(#REF!)-#REF!</f>
        <v>#REF!</v>
      </c>
      <c r="Y14" s="38"/>
      <c r="Z14" s="581"/>
      <c r="AA14" s="43"/>
    </row>
    <row r="15" spans="1:27" ht="12.75" x14ac:dyDescent="0.2">
      <c r="A15" s="39"/>
      <c r="B15" s="582"/>
      <c r="C15" s="18"/>
      <c r="D15" s="39"/>
      <c r="E15" s="39"/>
      <c r="F15" s="55"/>
      <c r="G15" s="595"/>
      <c r="H15" s="596"/>
      <c r="I15" s="596"/>
      <c r="J15" s="596"/>
      <c r="K15" s="596"/>
      <c r="L15" s="596"/>
      <c r="M15" s="596"/>
      <c r="N15" s="218"/>
      <c r="O15" s="596"/>
      <c r="P15" s="596"/>
      <c r="Q15" s="596"/>
      <c r="R15" s="596"/>
      <c r="S15" s="596"/>
      <c r="T15" s="596"/>
      <c r="U15" s="42"/>
      <c r="V15" s="55"/>
      <c r="W15" s="43"/>
      <c r="X15" s="38"/>
      <c r="Y15" s="38"/>
      <c r="Z15" s="581"/>
      <c r="AA15" s="43"/>
    </row>
    <row r="16" spans="1:27" s="24" customFormat="1" ht="12.75" x14ac:dyDescent="0.2">
      <c r="A16" s="7"/>
      <c r="B16" s="597"/>
      <c r="C16" s="16"/>
      <c r="D16" s="7" t="s">
        <v>544</v>
      </c>
      <c r="E16" s="7"/>
      <c r="F16" s="586"/>
      <c r="G16" s="598">
        <f>SUM(G17:G21)</f>
        <v>782517261</v>
      </c>
      <c r="H16" s="599">
        <f>SUM(H17:H21)</f>
        <v>51041194.562969998</v>
      </c>
      <c r="I16" s="599">
        <f t="shared" ref="I16:T16" si="1">SUM(I17:I21)</f>
        <v>48701651.87139</v>
      </c>
      <c r="J16" s="599">
        <f t="shared" si="1"/>
        <v>68808279.097010002</v>
      </c>
      <c r="K16" s="599">
        <f t="shared" si="1"/>
        <v>78158770</v>
      </c>
      <c r="L16" s="599">
        <f t="shared" si="1"/>
        <v>81034570</v>
      </c>
      <c r="M16" s="599">
        <f t="shared" si="1"/>
        <v>65333314</v>
      </c>
      <c r="N16" s="123">
        <f t="shared" si="1"/>
        <v>48738760.552320004</v>
      </c>
      <c r="O16" s="599">
        <f t="shared" si="1"/>
        <v>47627198</v>
      </c>
      <c r="P16" s="599">
        <f t="shared" si="1"/>
        <v>76244592</v>
      </c>
      <c r="Q16" s="599">
        <f t="shared" si="1"/>
        <v>79702840</v>
      </c>
      <c r="R16" s="599">
        <f t="shared" si="1"/>
        <v>70077636</v>
      </c>
      <c r="S16" s="599">
        <f t="shared" si="1"/>
        <v>68768409</v>
      </c>
      <c r="T16" s="599">
        <f t="shared" si="1"/>
        <v>784237215.08368993</v>
      </c>
      <c r="U16" s="77"/>
      <c r="V16" s="586"/>
      <c r="W16" s="43" t="e">
        <f>#REF!-#REF!</f>
        <v>#REF!</v>
      </c>
      <c r="X16" s="38" t="e">
        <f>SUM(#REF!)-#REF!</f>
        <v>#REF!</v>
      </c>
      <c r="Y16" s="38"/>
      <c r="Z16" s="581"/>
      <c r="AA16" s="43"/>
    </row>
    <row r="17" spans="1:28" ht="12.75" x14ac:dyDescent="0.2">
      <c r="A17" s="39"/>
      <c r="B17" s="582"/>
      <c r="C17" s="18"/>
      <c r="D17" s="39"/>
      <c r="E17" s="39" t="s">
        <v>25</v>
      </c>
      <c r="F17" s="600"/>
      <c r="G17" s="595">
        <f>+'[12]20-21'!$I$53</f>
        <v>233027798</v>
      </c>
      <c r="H17" s="596">
        <f>+'[67]April 2020'!$G$92/1000</f>
        <v>4206399.5629699994</v>
      </c>
      <c r="I17" s="596">
        <f>+'[68]May 2020'!$F$92/1000</f>
        <v>1879102.8713900005</v>
      </c>
      <c r="J17" s="596">
        <f>+'[68]June 2020'!$F$92/1000</f>
        <v>22441442.097009998</v>
      </c>
      <c r="K17" s="596">
        <v>31925505</v>
      </c>
      <c r="L17" s="596">
        <v>31148936</v>
      </c>
      <c r="M17" s="596">
        <v>20070544</v>
      </c>
      <c r="N17" s="218">
        <f>(+'[68]October 2020'!$F$92)/1000</f>
        <v>3518743.5523200016</v>
      </c>
      <c r="O17" s="596">
        <v>1599356</v>
      </c>
      <c r="P17" s="596">
        <v>25702350</v>
      </c>
      <c r="Q17" s="596">
        <v>33320221</v>
      </c>
      <c r="R17" s="596">
        <v>34810560</v>
      </c>
      <c r="S17" s="596">
        <v>22074796</v>
      </c>
      <c r="T17" s="218">
        <f>SUM(H17:S17)</f>
        <v>232697956.08368999</v>
      </c>
      <c r="U17" s="42"/>
      <c r="V17" s="55"/>
      <c r="W17" s="43" t="e">
        <f>#REF!-#REF!</f>
        <v>#REF!</v>
      </c>
      <c r="X17" s="38" t="e">
        <f>SUM(#REF!)-#REF!</f>
        <v>#REF!</v>
      </c>
      <c r="Y17" s="38"/>
      <c r="Z17" s="581"/>
      <c r="AA17" s="43"/>
    </row>
    <row r="18" spans="1:28" ht="12.75" x14ac:dyDescent="0.2">
      <c r="A18" s="39"/>
      <c r="B18" s="582"/>
      <c r="C18" s="18"/>
      <c r="D18" s="39"/>
      <c r="E18" s="39" t="s">
        <v>26</v>
      </c>
      <c r="F18" s="139"/>
      <c r="G18" s="595">
        <f>+'[12]20-21'!$I$56</f>
        <v>520717021</v>
      </c>
      <c r="H18" s="596">
        <f>+'[67]April 2020'!$F$80/1000</f>
        <v>44872627</v>
      </c>
      <c r="I18" s="596">
        <f>+'[68]May 2020'!$F$80/1000</f>
        <v>44872627</v>
      </c>
      <c r="J18" s="596">
        <f>+'[68]June 2020'!$F$80/1000</f>
        <v>44872627</v>
      </c>
      <c r="K18" s="596">
        <v>44872627</v>
      </c>
      <c r="L18" s="596">
        <v>44872627</v>
      </c>
      <c r="M18" s="596">
        <v>44872627</v>
      </c>
      <c r="N18" s="218">
        <f>(+'[68]October 2020'!$F$80)/1000</f>
        <v>44872627</v>
      </c>
      <c r="O18" s="596">
        <v>44872627</v>
      </c>
      <c r="P18" s="596">
        <v>44872672</v>
      </c>
      <c r="Q18" s="596">
        <v>44872627</v>
      </c>
      <c r="R18" s="596">
        <v>33036287</v>
      </c>
      <c r="S18" s="596">
        <v>38954464</v>
      </c>
      <c r="T18" s="218">
        <f>SUM(H18:S18)</f>
        <v>520717066</v>
      </c>
      <c r="U18" s="42"/>
      <c r="V18" s="55"/>
      <c r="W18" s="43" t="e">
        <f>#REF!-#REF!</f>
        <v>#REF!</v>
      </c>
      <c r="X18" s="38" t="e">
        <f>SUM(#REF!)-#REF!</f>
        <v>#REF!</v>
      </c>
      <c r="Y18" s="38"/>
      <c r="Z18" s="581"/>
      <c r="AA18" s="43"/>
    </row>
    <row r="19" spans="1:28" ht="14.4" customHeight="1" x14ac:dyDescent="0.2">
      <c r="A19" s="39"/>
      <c r="B19" s="582"/>
      <c r="C19" s="18"/>
      <c r="D19" s="39"/>
      <c r="E19" s="39" t="s">
        <v>27</v>
      </c>
      <c r="F19" s="55"/>
      <c r="G19" s="595">
        <f>+'[12]20-21'!$I$57</f>
        <v>14026878</v>
      </c>
      <c r="H19" s="596">
        <v>0</v>
      </c>
      <c r="I19" s="596">
        <f>+'[68]May 2020'!$F$60</f>
        <v>0</v>
      </c>
      <c r="J19" s="596">
        <v>0</v>
      </c>
      <c r="K19" s="596">
        <v>0</v>
      </c>
      <c r="L19" s="596">
        <v>4675628</v>
      </c>
      <c r="M19" s="596">
        <v>0</v>
      </c>
      <c r="N19" s="218">
        <f>(+'[68]October 2020'!$F$60)/1000</f>
        <v>0</v>
      </c>
      <c r="O19" s="596">
        <v>0</v>
      </c>
      <c r="P19" s="596">
        <v>4675628</v>
      </c>
      <c r="Q19" s="596">
        <v>0</v>
      </c>
      <c r="R19" s="596">
        <v>0</v>
      </c>
      <c r="S19" s="596">
        <v>4675622</v>
      </c>
      <c r="T19" s="218">
        <f>SUM(H19:S19)</f>
        <v>14026878</v>
      </c>
      <c r="U19" s="42"/>
      <c r="V19" s="55"/>
      <c r="W19" s="43" t="e">
        <f>#REF!-#REF!</f>
        <v>#REF!</v>
      </c>
      <c r="X19" s="38" t="e">
        <f>SUM(#REF!)-#REF!</f>
        <v>#REF!</v>
      </c>
      <c r="Y19" s="38"/>
      <c r="Z19" s="581"/>
      <c r="AA19" s="43"/>
      <c r="AB19" s="19">
        <v>1000</v>
      </c>
    </row>
    <row r="20" spans="1:28" ht="14.4" customHeight="1" x14ac:dyDescent="0.2">
      <c r="A20" s="39"/>
      <c r="B20" s="582"/>
      <c r="C20" s="18"/>
      <c r="D20" s="39"/>
      <c r="E20" s="39" t="s">
        <v>545</v>
      </c>
      <c r="F20" s="55"/>
      <c r="G20" s="595">
        <f>+'[12]20-21'!$I$66</f>
        <v>10174611</v>
      </c>
      <c r="H20" s="596">
        <f>+'[67]April 2020'!$F$63/1000</f>
        <v>1617743</v>
      </c>
      <c r="I20" s="596">
        <f>+'[68]May 2020'!$F$63/1000</f>
        <v>1617741</v>
      </c>
      <c r="J20" s="596">
        <f>+'[68]June 2020'!$F$63/1000</f>
        <v>1118322</v>
      </c>
      <c r="K20" s="596">
        <v>1017741</v>
      </c>
      <c r="L20" s="596">
        <v>0</v>
      </c>
      <c r="M20" s="596">
        <v>0</v>
      </c>
      <c r="N20" s="218">
        <f>(+'[68]October 2020'!$F$63)/1000</f>
        <v>217362</v>
      </c>
      <c r="O20" s="596">
        <v>795000</v>
      </c>
      <c r="P20" s="596">
        <v>584142</v>
      </c>
      <c r="Q20" s="596">
        <v>1184144</v>
      </c>
      <c r="R20" s="596">
        <v>1784143</v>
      </c>
      <c r="S20" s="596">
        <v>2693998</v>
      </c>
      <c r="T20" s="218">
        <f>SUM(H20:S20)</f>
        <v>12630336</v>
      </c>
      <c r="U20" s="42"/>
      <c r="V20" s="55"/>
      <c r="W20" s="43" t="e">
        <f>#REF!-#REF!</f>
        <v>#REF!</v>
      </c>
      <c r="X20" s="38" t="e">
        <f>SUM(#REF!)-#REF!</f>
        <v>#REF!</v>
      </c>
      <c r="Y20" s="38"/>
      <c r="Z20" s="581"/>
      <c r="AA20" s="43"/>
    </row>
    <row r="21" spans="1:28" ht="12.75" x14ac:dyDescent="0.2">
      <c r="A21" s="39"/>
      <c r="B21" s="582"/>
      <c r="C21" s="18"/>
      <c r="D21" s="39"/>
      <c r="E21" s="39" t="s">
        <v>33</v>
      </c>
      <c r="F21" s="55"/>
      <c r="G21" s="595">
        <f>+'[12]20-21'!$I$51+'[12]20-21'!$I$52+'[12]20-21'!$I$58+'[12]20-21'!$I$59+'[12]20-21'!$I$61+'[12]20-21'!$I$67+'[12]20-21'!$I$68+'[12]20-21'!$I$69</f>
        <v>4570953</v>
      </c>
      <c r="H21" s="596">
        <f>(+'[67]April 2020'!$F$58+'[67]April 2020'!$F$59+'[67]April 2020'!$F$60+'[67]April 2020'!$F$61+'[67]April 2020'!$F$62+'[67]April 2020'!$F$64+'[67]April 2020'!$F$65+'[67]April 2020'!$F$66)/1000</f>
        <v>344425</v>
      </c>
      <c r="I21" s="596">
        <f>(+'[68]May 2020'!$F$58+'[68]May 2020'!$F$59+'[68]May 2020'!$F$60+'[68]May 2020'!$F$61+'[68]May 2020'!$F$62+'[68]May 2020'!$F$64+'[68]May 2020'!$F$65+'[68]May 2020'!$F$66)/1000</f>
        <v>332181</v>
      </c>
      <c r="J21" s="596">
        <f>(+'[68]June 2020'!$F$58+'[68]June 2020'!$F$59+'[68]June 2020'!$F$60+'[68]June 2020'!$F$64+'[68]June 2020'!$F$65+'[68]June 2020'!$F$66+'[68]June 2020'!$F$62+'[68]June 2020'!$F$61)/1000</f>
        <v>375888</v>
      </c>
      <c r="K21" s="596">
        <v>342897</v>
      </c>
      <c r="L21" s="596">
        <f>650+42263+203497+90969</f>
        <v>337379</v>
      </c>
      <c r="M21" s="596">
        <v>390143</v>
      </c>
      <c r="N21" s="218">
        <f>(+'[68]October 2020'!$F$58+'[68]October 2020'!$F$59+'[68]October 2020'!$F$64+'[68]October 2020'!$F$65)/1000</f>
        <v>130028</v>
      </c>
      <c r="O21" s="596">
        <v>360215</v>
      </c>
      <c r="P21" s="596">
        <v>409800</v>
      </c>
      <c r="Q21" s="596">
        <f>649+32263+205787+87149</f>
        <v>325848</v>
      </c>
      <c r="R21" s="596">
        <v>446646</v>
      </c>
      <c r="S21" s="596">
        <v>369529</v>
      </c>
      <c r="T21" s="218">
        <f>SUM(H21:S21)</f>
        <v>4164979</v>
      </c>
      <c r="U21" s="42"/>
      <c r="V21" s="55"/>
      <c r="W21" s="43" t="e">
        <f>#REF!-#REF!</f>
        <v>#REF!</v>
      </c>
      <c r="X21" s="38" t="e">
        <f>SUM(#REF!)-#REF!</f>
        <v>#REF!</v>
      </c>
      <c r="Y21" s="38"/>
      <c r="Z21" s="581"/>
      <c r="AA21" s="43"/>
    </row>
    <row r="22" spans="1:28" ht="12.75" x14ac:dyDescent="0.2">
      <c r="A22" s="39"/>
      <c r="B22" s="582"/>
      <c r="C22" s="39"/>
      <c r="D22" s="7"/>
      <c r="E22" s="39"/>
      <c r="F22" s="55"/>
      <c r="G22" s="598"/>
      <c r="H22" s="599"/>
      <c r="I22" s="599"/>
      <c r="J22" s="599"/>
      <c r="K22" s="599"/>
      <c r="L22" s="599"/>
      <c r="M22" s="599"/>
      <c r="N22" s="123"/>
      <c r="O22" s="599"/>
      <c r="P22" s="599"/>
      <c r="Q22" s="599"/>
      <c r="R22" s="599"/>
      <c r="S22" s="599"/>
      <c r="T22" s="599"/>
      <c r="U22" s="42"/>
      <c r="V22" s="55"/>
      <c r="W22" s="43"/>
      <c r="X22" s="38"/>
      <c r="Y22" s="38"/>
      <c r="Z22" s="581"/>
      <c r="AA22" s="43"/>
    </row>
    <row r="23" spans="1:28" ht="12.75" x14ac:dyDescent="0.2">
      <c r="A23" s="39"/>
      <c r="B23" s="582"/>
      <c r="C23" s="39"/>
      <c r="E23" s="39"/>
      <c r="F23" s="593"/>
      <c r="G23" s="595"/>
      <c r="H23" s="596"/>
      <c r="I23" s="596"/>
      <c r="J23" s="596"/>
      <c r="K23" s="596"/>
      <c r="L23" s="596"/>
      <c r="M23" s="596"/>
      <c r="N23" s="218"/>
      <c r="O23" s="596"/>
      <c r="P23" s="596"/>
      <c r="Q23" s="596"/>
      <c r="R23" s="596"/>
      <c r="S23" s="596"/>
      <c r="T23" s="596"/>
      <c r="U23" s="42"/>
      <c r="V23" s="55"/>
      <c r="W23" s="43" t="e">
        <f>#REF!-#REF!</f>
        <v>#REF!</v>
      </c>
      <c r="X23" s="38" t="e">
        <f>SUM(#REF!)-#REF!</f>
        <v>#REF!</v>
      </c>
      <c r="Y23" s="38"/>
    </row>
    <row r="24" spans="1:28" ht="12.75" x14ac:dyDescent="0.2">
      <c r="A24" s="39"/>
      <c r="B24" s="582"/>
      <c r="C24" s="39"/>
      <c r="D24" s="19" t="str">
        <f>+'[19]20-21'!$A$73</f>
        <v>National government projected underspending</v>
      </c>
      <c r="E24" s="39"/>
      <c r="F24" s="55"/>
      <c r="G24" s="595">
        <f>+'[12]20-21'!$I$73</f>
        <v>-3692917</v>
      </c>
      <c r="H24" s="596">
        <v>0</v>
      </c>
      <c r="I24" s="596">
        <v>0</v>
      </c>
      <c r="J24" s="596">
        <v>0</v>
      </c>
      <c r="K24" s="596">
        <v>0</v>
      </c>
      <c r="L24" s="596">
        <v>0</v>
      </c>
      <c r="M24" s="596">
        <v>0</v>
      </c>
      <c r="N24" s="218">
        <v>0</v>
      </c>
      <c r="O24" s="596">
        <v>0</v>
      </c>
      <c r="P24" s="596">
        <v>0</v>
      </c>
      <c r="Q24" s="596">
        <v>0</v>
      </c>
      <c r="R24" s="596">
        <v>0</v>
      </c>
      <c r="S24" s="596">
        <v>0</v>
      </c>
      <c r="T24" s="596">
        <f>SUM(H24:S24)</f>
        <v>0</v>
      </c>
      <c r="U24" s="42"/>
      <c r="V24" s="55"/>
      <c r="W24" s="43" t="e">
        <f>#REF!-#REF!</f>
        <v>#REF!</v>
      </c>
      <c r="X24" s="38" t="e">
        <f>SUM(#REF!)-#REF!</f>
        <v>#REF!</v>
      </c>
      <c r="Y24" s="38"/>
    </row>
    <row r="25" spans="1:28" s="24" customFormat="1" ht="12.75" x14ac:dyDescent="0.2">
      <c r="A25" s="7"/>
      <c r="B25" s="597"/>
      <c r="C25" s="7"/>
      <c r="D25" s="601"/>
      <c r="E25" s="39"/>
      <c r="F25" s="55"/>
      <c r="G25" s="595"/>
      <c r="H25" s="599"/>
      <c r="I25" s="599"/>
      <c r="J25" s="599"/>
      <c r="K25" s="599"/>
      <c r="L25" s="599"/>
      <c r="M25" s="596"/>
      <c r="N25" s="123"/>
      <c r="O25" s="596"/>
      <c r="P25" s="596"/>
      <c r="Q25" s="596"/>
      <c r="R25" s="599"/>
      <c r="S25" s="599"/>
      <c r="T25" s="218"/>
      <c r="U25" s="77"/>
      <c r="V25" s="586"/>
      <c r="W25" s="43"/>
      <c r="X25" s="38"/>
      <c r="Y25" s="38"/>
    </row>
    <row r="26" spans="1:28" s="24" customFormat="1" ht="12.75" x14ac:dyDescent="0.2">
      <c r="A26" s="7"/>
      <c r="B26" s="597"/>
      <c r="C26" s="16"/>
      <c r="D26" s="7"/>
      <c r="E26" s="389"/>
      <c r="F26" s="586"/>
      <c r="G26" s="602"/>
      <c r="H26" s="603"/>
      <c r="I26" s="603"/>
      <c r="J26" s="603"/>
      <c r="K26" s="603"/>
      <c r="L26" s="603"/>
      <c r="M26" s="603"/>
      <c r="N26" s="603"/>
      <c r="O26" s="603"/>
      <c r="P26" s="603"/>
      <c r="Q26" s="603"/>
      <c r="R26" s="603"/>
      <c r="S26" s="603"/>
      <c r="T26" s="603"/>
      <c r="U26" s="77"/>
      <c r="V26" s="586"/>
      <c r="W26" s="43"/>
      <c r="X26" s="38"/>
      <c r="Y26" s="38"/>
    </row>
    <row r="27" spans="1:28" s="24" customFormat="1" ht="12.75" x14ac:dyDescent="0.2">
      <c r="A27" s="7"/>
      <c r="B27" s="597"/>
      <c r="C27" s="16"/>
      <c r="D27" s="7"/>
      <c r="E27" s="7"/>
      <c r="F27" s="586"/>
      <c r="G27" s="126"/>
      <c r="H27" s="123"/>
      <c r="I27" s="123"/>
      <c r="J27" s="123"/>
      <c r="K27" s="123"/>
      <c r="L27" s="123"/>
      <c r="M27" s="123"/>
      <c r="N27" s="123"/>
      <c r="O27" s="123"/>
      <c r="P27" s="123"/>
      <c r="Q27" s="123"/>
      <c r="R27" s="123"/>
      <c r="S27" s="123"/>
      <c r="T27" s="123"/>
      <c r="U27" s="77"/>
      <c r="V27" s="586"/>
      <c r="W27" s="43"/>
      <c r="X27" s="38"/>
      <c r="Y27" s="38"/>
    </row>
    <row r="28" spans="1:28" s="24" customFormat="1" ht="12.75" x14ac:dyDescent="0.2">
      <c r="A28" s="7"/>
      <c r="B28" s="597"/>
      <c r="C28" s="16" t="s">
        <v>35</v>
      </c>
      <c r="D28" s="7"/>
      <c r="E28" s="7"/>
      <c r="F28" s="586"/>
      <c r="G28" s="126">
        <f>+G10-G12</f>
        <v>-603388420.00234699</v>
      </c>
      <c r="H28" s="123">
        <f t="shared" ref="H28:T28" si="2">(H10-H12)</f>
        <v>-85315225</v>
      </c>
      <c r="I28" s="123">
        <f t="shared" si="2"/>
        <v>-51703302</v>
      </c>
      <c r="J28" s="123">
        <f t="shared" si="2"/>
        <v>-25825543</v>
      </c>
      <c r="K28" s="123">
        <f t="shared" si="2"/>
        <v>-95400176</v>
      </c>
      <c r="L28" s="123">
        <f t="shared" si="2"/>
        <v>-100083155</v>
      </c>
      <c r="M28" s="123">
        <f t="shared" si="2"/>
        <v>-32516240</v>
      </c>
      <c r="N28" s="123">
        <f t="shared" si="2"/>
        <v>-62963917</v>
      </c>
      <c r="O28" s="123">
        <f t="shared" si="2"/>
        <v>-21910771</v>
      </c>
      <c r="P28" s="123">
        <f t="shared" si="2"/>
        <v>10985073</v>
      </c>
      <c r="Q28" s="123">
        <f t="shared" si="2"/>
        <v>-110001731</v>
      </c>
      <c r="R28" s="123">
        <f t="shared" si="2"/>
        <v>-16372215</v>
      </c>
      <c r="S28" s="123">
        <f>(S10-S12)</f>
        <v>21257289</v>
      </c>
      <c r="T28" s="123">
        <f t="shared" si="2"/>
        <v>-569849913</v>
      </c>
      <c r="U28" s="77"/>
      <c r="V28" s="586"/>
      <c r="W28" s="43" t="e">
        <f>#REF!-#REF!</f>
        <v>#REF!</v>
      </c>
      <c r="X28" s="38" t="e">
        <f>SUM(#REF!)-#REF!</f>
        <v>#REF!</v>
      </c>
      <c r="Y28" s="38"/>
    </row>
    <row r="29" spans="1:28" s="24" customFormat="1" ht="12.75" x14ac:dyDescent="0.2">
      <c r="A29" s="7"/>
      <c r="B29" s="597"/>
      <c r="C29" s="16"/>
      <c r="D29" s="7"/>
      <c r="E29" s="389"/>
      <c r="F29" s="586"/>
      <c r="G29" s="126"/>
      <c r="H29" s="123"/>
      <c r="I29" s="123"/>
      <c r="J29" s="123"/>
      <c r="K29" s="123"/>
      <c r="L29" s="123"/>
      <c r="M29" s="123"/>
      <c r="N29" s="123"/>
      <c r="O29" s="123"/>
      <c r="P29" s="123"/>
      <c r="Q29" s="123"/>
      <c r="R29" s="123"/>
      <c r="S29" s="123"/>
      <c r="T29" s="123"/>
      <c r="U29" s="77"/>
      <c r="V29" s="586"/>
      <c r="W29" s="43"/>
      <c r="X29" s="38"/>
      <c r="Y29" s="38"/>
    </row>
    <row r="30" spans="1:28" s="24" customFormat="1" ht="12.75" x14ac:dyDescent="0.2">
      <c r="A30" s="7"/>
      <c r="B30" s="7"/>
      <c r="C30" s="16" t="s">
        <v>546</v>
      </c>
      <c r="D30" s="7"/>
      <c r="E30" s="7"/>
      <c r="F30" s="593"/>
      <c r="G30" s="126">
        <f t="shared" ref="G30:S30" si="3">+G33+G35+G56+G80</f>
        <v>603388420.00234699</v>
      </c>
      <c r="H30" s="123">
        <f t="shared" si="3"/>
        <v>85315225</v>
      </c>
      <c r="I30" s="123">
        <f>+I33+I35+I56+I80</f>
        <v>51703301.999999993</v>
      </c>
      <c r="J30" s="123">
        <f t="shared" si="3"/>
        <v>25825543</v>
      </c>
      <c r="K30" s="123">
        <f t="shared" si="3"/>
        <v>95400176</v>
      </c>
      <c r="L30" s="123">
        <f t="shared" si="3"/>
        <v>100083155</v>
      </c>
      <c r="M30" s="123">
        <f t="shared" si="3"/>
        <v>32516240</v>
      </c>
      <c r="N30" s="123">
        <f>+N33+N35+N56+N80</f>
        <v>62963917</v>
      </c>
      <c r="O30" s="123">
        <f>+O33+O35+O56+O80</f>
        <v>21910771</v>
      </c>
      <c r="P30" s="123">
        <f>+P33+P35+P56+P80</f>
        <v>-10985073</v>
      </c>
      <c r="Q30" s="123">
        <f>+Q33+Q35+Q56+Q80</f>
        <v>110001731</v>
      </c>
      <c r="R30" s="123">
        <f t="shared" si="3"/>
        <v>16372215</v>
      </c>
      <c r="S30" s="123">
        <f t="shared" si="3"/>
        <v>-21257289</v>
      </c>
      <c r="T30" s="123">
        <f>(+T33+T35+T56+T80)</f>
        <v>569849913</v>
      </c>
      <c r="U30" s="77"/>
      <c r="V30" s="586"/>
      <c r="W30" s="43" t="e">
        <f>#REF!-#REF!</f>
        <v>#REF!</v>
      </c>
      <c r="X30" s="38" t="e">
        <f>SUM(#REF!)-#REF!</f>
        <v>#REF!</v>
      </c>
      <c r="Y30" s="38"/>
      <c r="Z30" s="411" t="e">
        <f>#REF!+#REF!</f>
        <v>#REF!</v>
      </c>
    </row>
    <row r="31" spans="1:28" s="24" customFormat="1" ht="12.75" x14ac:dyDescent="0.2">
      <c r="A31" s="7"/>
      <c r="B31" s="7"/>
      <c r="C31" s="16"/>
      <c r="D31" s="7"/>
      <c r="E31" s="7"/>
      <c r="F31" s="586"/>
      <c r="G31" s="602"/>
      <c r="H31" s="603"/>
      <c r="I31" s="603"/>
      <c r="J31" s="603"/>
      <c r="K31" s="603"/>
      <c r="L31" s="603"/>
      <c r="M31" s="603"/>
      <c r="N31" s="603"/>
      <c r="O31" s="603"/>
      <c r="P31" s="603"/>
      <c r="Q31" s="603"/>
      <c r="R31" s="603"/>
      <c r="S31" s="603"/>
      <c r="T31" s="603"/>
      <c r="U31" s="77"/>
      <c r="V31" s="586"/>
      <c r="W31" s="43"/>
      <c r="X31" s="38"/>
      <c r="Y31" s="38"/>
      <c r="AA31" s="411"/>
    </row>
    <row r="32" spans="1:28" s="24" customFormat="1" ht="12.75" x14ac:dyDescent="0.2">
      <c r="A32" s="7"/>
      <c r="B32" s="7"/>
      <c r="C32" s="16"/>
      <c r="D32" s="7"/>
      <c r="E32" s="7"/>
      <c r="F32" s="586"/>
      <c r="G32" s="126"/>
      <c r="H32" s="123"/>
      <c r="I32" s="123"/>
      <c r="J32" s="123"/>
      <c r="K32" s="123"/>
      <c r="L32" s="123"/>
      <c r="M32" s="123"/>
      <c r="N32" s="123"/>
      <c r="O32" s="123"/>
      <c r="P32" s="123"/>
      <c r="Q32" s="123"/>
      <c r="R32" s="123"/>
      <c r="S32" s="123"/>
      <c r="T32" s="123"/>
      <c r="U32" s="77"/>
      <c r="V32" s="586"/>
      <c r="W32" s="43"/>
      <c r="X32" s="38"/>
      <c r="Y32" s="38"/>
    </row>
    <row r="33" spans="1:26" s="24" customFormat="1" ht="12.75" x14ac:dyDescent="0.2">
      <c r="A33" s="7"/>
      <c r="B33" s="7"/>
      <c r="C33" s="16" t="s">
        <v>37</v>
      </c>
      <c r="D33" s="7"/>
      <c r="E33" s="7"/>
      <c r="F33" s="586"/>
      <c r="G33" s="126">
        <f>[27]summary!$H$13</f>
        <v>97183520</v>
      </c>
      <c r="H33" s="123">
        <f>[28]summary!$M$13</f>
        <v>37582688</v>
      </c>
      <c r="I33" s="123">
        <f>[29]summary!$R$13</f>
        <v>16125619</v>
      </c>
      <c r="J33" s="123">
        <f>[30]summary!$W$13</f>
        <v>11567828</v>
      </c>
      <c r="K33" s="123">
        <f>[31]summary!$AB$13</f>
        <v>26289577</v>
      </c>
      <c r="L33" s="123">
        <f>[32]summary!$AG$13</f>
        <v>-5974831</v>
      </c>
      <c r="M33" s="123">
        <f>[33]summary!$AL$13</f>
        <v>1315362</v>
      </c>
      <c r="N33" s="123">
        <f>[69]summary!$AQ$13</f>
        <v>31098565</v>
      </c>
      <c r="O33" s="123">
        <f>[70]summary!$AV$13</f>
        <v>295423</v>
      </c>
      <c r="P33" s="123">
        <f>[36]summary!$BA$13</f>
        <v>-33015782</v>
      </c>
      <c r="Q33" s="123">
        <f>[37]summary!$BF$13</f>
        <v>15701292</v>
      </c>
      <c r="R33" s="123">
        <f>[27]summary!$BK$13</f>
        <v>-13560314</v>
      </c>
      <c r="S33" s="123">
        <f>[38]summary!$BP$13</f>
        <v>7899997</v>
      </c>
      <c r="T33" s="123">
        <f>SUM(H33:S33)</f>
        <v>95325424</v>
      </c>
      <c r="U33" s="77"/>
      <c r="V33" s="586"/>
      <c r="W33" s="43" t="e">
        <f>#REF!-#REF!</f>
        <v>#REF!</v>
      </c>
      <c r="X33" s="38" t="e">
        <f>SUM(#REF!)-#REF!</f>
        <v>#REF!</v>
      </c>
      <c r="Y33" s="38"/>
    </row>
    <row r="34" spans="1:26" s="24" customFormat="1" ht="12.75" x14ac:dyDescent="0.2">
      <c r="A34" s="7"/>
      <c r="B34" s="7"/>
      <c r="C34" s="16"/>
      <c r="D34" s="7"/>
      <c r="E34" s="7"/>
      <c r="F34" s="586"/>
      <c r="G34" s="126"/>
      <c r="H34" s="123"/>
      <c r="I34" s="123"/>
      <c r="J34" s="123"/>
      <c r="K34" s="123"/>
      <c r="L34" s="123"/>
      <c r="M34" s="123"/>
      <c r="N34" s="123"/>
      <c r="O34" s="123"/>
      <c r="P34" s="123"/>
      <c r="Q34" s="123"/>
      <c r="R34" s="123"/>
      <c r="S34" s="123"/>
      <c r="T34" s="123"/>
      <c r="U34" s="77"/>
      <c r="V34" s="586"/>
      <c r="W34" s="43"/>
      <c r="X34" s="38"/>
      <c r="Y34" s="38"/>
    </row>
    <row r="35" spans="1:26" s="24" customFormat="1" ht="12.75" x14ac:dyDescent="0.2">
      <c r="A35" s="7"/>
      <c r="B35" s="7"/>
      <c r="C35" s="16" t="s">
        <v>38</v>
      </c>
      <c r="D35" s="7"/>
      <c r="E35" s="7"/>
      <c r="F35" s="586"/>
      <c r="G35" s="126">
        <f>+G37+G44+G49+G53</f>
        <v>465992000</v>
      </c>
      <c r="H35" s="150">
        <f t="shared" ref="H35:T35" si="4">+H37+H44+H49+H53</f>
        <v>32850713</v>
      </c>
      <c r="I35" s="150">
        <f t="shared" si="4"/>
        <v>40638036.743999995</v>
      </c>
      <c r="J35" s="150">
        <f t="shared" si="4"/>
        <v>43402900</v>
      </c>
      <c r="K35" s="150">
        <f t="shared" si="4"/>
        <v>60600922</v>
      </c>
      <c r="L35" s="150">
        <f t="shared" si="4"/>
        <v>37229982</v>
      </c>
      <c r="M35" s="150">
        <f t="shared" si="4"/>
        <v>50427153</v>
      </c>
      <c r="N35" s="150">
        <f t="shared" si="4"/>
        <v>50571945</v>
      </c>
      <c r="O35" s="150">
        <f t="shared" si="4"/>
        <v>39211461</v>
      </c>
      <c r="P35" s="150">
        <f t="shared" si="4"/>
        <v>45711722</v>
      </c>
      <c r="Q35" s="150">
        <f t="shared" si="4"/>
        <v>34673258</v>
      </c>
      <c r="R35" s="150">
        <f t="shared" si="4"/>
        <v>42446719</v>
      </c>
      <c r="S35" s="150">
        <f t="shared" si="4"/>
        <v>-7569549</v>
      </c>
      <c r="T35" s="123">
        <f t="shared" si="4"/>
        <v>470195262.74399996</v>
      </c>
      <c r="U35" s="77"/>
      <c r="V35" s="586"/>
      <c r="W35" s="604" t="e">
        <f>#REF!-#REF!</f>
        <v>#REF!</v>
      </c>
      <c r="X35" s="38" t="e">
        <f>SUM(#REF!)-#REF!</f>
        <v>#REF!</v>
      </c>
      <c r="Y35" s="38"/>
    </row>
    <row r="36" spans="1:26" ht="12.75" x14ac:dyDescent="0.2">
      <c r="A36" s="39"/>
      <c r="B36" s="39"/>
      <c r="C36" s="18"/>
      <c r="D36" s="39"/>
      <c r="E36" s="39"/>
      <c r="F36" s="55"/>
      <c r="G36" s="159"/>
      <c r="H36" s="156"/>
      <c r="I36" s="156"/>
      <c r="J36" s="156"/>
      <c r="K36" s="156"/>
      <c r="L36" s="156"/>
      <c r="M36" s="156"/>
      <c r="N36" s="156"/>
      <c r="O36" s="156"/>
      <c r="P36" s="156"/>
      <c r="Q36" s="156"/>
      <c r="R36" s="156"/>
      <c r="S36" s="156"/>
      <c r="T36" s="156"/>
      <c r="U36" s="42"/>
      <c r="V36" s="55"/>
      <c r="W36" s="43"/>
      <c r="X36" s="38"/>
      <c r="Y36" s="38"/>
    </row>
    <row r="37" spans="1:26" ht="12.75" x14ac:dyDescent="0.2">
      <c r="A37" s="39"/>
      <c r="B37" s="39"/>
      <c r="C37" s="18"/>
      <c r="D37" s="39" t="s">
        <v>547</v>
      </c>
      <c r="E37" s="39"/>
      <c r="F37" s="55"/>
      <c r="G37" s="159">
        <f t="shared" ref="G37:T37" si="5">SUM(G38:G42)</f>
        <v>466034575</v>
      </c>
      <c r="H37" s="156">
        <f t="shared" si="5"/>
        <v>32850713</v>
      </c>
      <c r="I37" s="156">
        <f t="shared" si="5"/>
        <v>40638036.743999995</v>
      </c>
      <c r="J37" s="156">
        <f t="shared" si="5"/>
        <v>43402900</v>
      </c>
      <c r="K37" s="156">
        <f t="shared" si="5"/>
        <v>60600922</v>
      </c>
      <c r="L37" s="156">
        <f t="shared" si="5"/>
        <v>37229982</v>
      </c>
      <c r="M37" s="156">
        <f t="shared" si="5"/>
        <v>50427153</v>
      </c>
      <c r="N37" s="156">
        <f t="shared" si="5"/>
        <v>50571945</v>
      </c>
      <c r="O37" s="156">
        <f t="shared" si="5"/>
        <v>39125584</v>
      </c>
      <c r="P37" s="156">
        <f t="shared" si="5"/>
        <v>45797599</v>
      </c>
      <c r="Q37" s="156">
        <f t="shared" si="5"/>
        <v>34673258</v>
      </c>
      <c r="R37" s="156">
        <f>SUM(R38:R42)</f>
        <v>42405005</v>
      </c>
      <c r="S37" s="156">
        <f t="shared" si="5"/>
        <v>-7569549</v>
      </c>
      <c r="T37" s="218">
        <f t="shared" si="5"/>
        <v>470153548.74399996</v>
      </c>
      <c r="U37" s="42"/>
      <c r="V37" s="55"/>
      <c r="W37" s="604" t="e">
        <f>#REF!-#REF!</f>
        <v>#REF!</v>
      </c>
      <c r="X37" s="38" t="e">
        <f>SUM(#REF!)-#REF!</f>
        <v>#REF!</v>
      </c>
      <c r="Y37" s="38"/>
    </row>
    <row r="38" spans="1:26" ht="12.75" x14ac:dyDescent="0.2">
      <c r="A38" s="39"/>
      <c r="B38" s="39"/>
      <c r="C38" s="18"/>
      <c r="D38" s="39"/>
      <c r="E38" s="39" t="s">
        <v>548</v>
      </c>
      <c r="F38" s="55"/>
      <c r="G38" s="605">
        <f>[27]summary!$H$25</f>
        <v>591023575</v>
      </c>
      <c r="H38" s="218">
        <f>[28]summary!$M$25</f>
        <v>38350619</v>
      </c>
      <c r="I38" s="218">
        <f>[29]summary!$R$25</f>
        <v>45031287.743999995</v>
      </c>
      <c r="J38" s="218">
        <f>[30]summary!$W$25</f>
        <v>49600848</v>
      </c>
      <c r="K38" s="218">
        <f>[31]summary!$AB$25</f>
        <v>69933031</v>
      </c>
      <c r="L38" s="218">
        <f>[32]summary!$AG$25</f>
        <v>44319358</v>
      </c>
      <c r="M38" s="218">
        <f>[33]summary!$AL$25</f>
        <v>61486843</v>
      </c>
      <c r="N38" s="218">
        <f>[69]summary!$AQ$25</f>
        <v>59931421</v>
      </c>
      <c r="O38" s="218">
        <f>[70]summary!$AV$25</f>
        <v>46634910</v>
      </c>
      <c r="P38" s="218">
        <f>[36]summary!$BA$25</f>
        <v>52191398</v>
      </c>
      <c r="Q38" s="218">
        <f>[37]summary!$BF$25</f>
        <v>39060638</v>
      </c>
      <c r="R38" s="218">
        <f>[27]summary!$BK$25</f>
        <v>49399464</v>
      </c>
      <c r="S38" s="218">
        <f>[38]summary!$BP$25</f>
        <v>48828037</v>
      </c>
      <c r="T38" s="218">
        <f>SUM(H38:S38)</f>
        <v>604767854.74399996</v>
      </c>
      <c r="U38" s="42"/>
      <c r="V38" s="55"/>
      <c r="W38" s="604" t="e">
        <f>#REF!-#REF!</f>
        <v>#REF!</v>
      </c>
      <c r="X38" s="38" t="e">
        <f>SUM(#REF!)-#REF!</f>
        <v>#REF!</v>
      </c>
      <c r="Y38" s="38"/>
    </row>
    <row r="39" spans="1:26" ht="12.75" x14ac:dyDescent="0.2">
      <c r="A39" s="39"/>
      <c r="B39" s="39"/>
      <c r="C39" s="18"/>
      <c r="D39" s="39"/>
      <c r="E39" s="39" t="s">
        <v>549</v>
      </c>
      <c r="F39" s="55"/>
      <c r="G39" s="605">
        <f>[27]summary!$H$26</f>
        <v>-72524000</v>
      </c>
      <c r="H39" s="218">
        <f>[28]summary!$M$26</f>
        <v>-4299769</v>
      </c>
      <c r="I39" s="218">
        <f>[29]summary!$R$26</f>
        <v>-4058204</v>
      </c>
      <c r="J39" s="218">
        <f>[30]summary!$W$26</f>
        <v>-6085389</v>
      </c>
      <c r="K39" s="218">
        <f>[31]summary!$AB$26</f>
        <v>-8992564</v>
      </c>
      <c r="L39" s="218">
        <f>[32]summary!$AG$26</f>
        <v>-6877121</v>
      </c>
      <c r="M39" s="218">
        <f>[33]summary!$AL$26</f>
        <v>-10836667</v>
      </c>
      <c r="N39" s="218">
        <f>[69]summary!$AQ$26</f>
        <v>-9026146</v>
      </c>
      <c r="O39" s="218">
        <f>[70]summary!$AV$26</f>
        <v>-7195171</v>
      </c>
      <c r="P39" s="218">
        <f>[36]summary!$BA$26</f>
        <v>-6333842</v>
      </c>
      <c r="Q39" s="218">
        <f>[37]summary!$BF$26</f>
        <v>-3989426</v>
      </c>
      <c r="R39" s="218">
        <f>[27]summary!$BK$26</f>
        <v>-6713436</v>
      </c>
      <c r="S39" s="218">
        <f>[38]summary!$BP$26</f>
        <v>-6983980</v>
      </c>
      <c r="T39" s="218">
        <f>SUM(H39:S39)</f>
        <v>-81391715</v>
      </c>
      <c r="U39" s="42"/>
      <c r="V39" s="55"/>
      <c r="W39" s="604" t="e">
        <f>#REF!-#REF!</f>
        <v>#REF!</v>
      </c>
      <c r="X39" s="38" t="e">
        <f>SUM(#REF!)-#REF!</f>
        <v>#REF!</v>
      </c>
      <c r="Y39" s="38"/>
    </row>
    <row r="40" spans="1:26" ht="12.75" hidden="1" x14ac:dyDescent="0.2">
      <c r="A40" s="39"/>
      <c r="B40" s="39"/>
      <c r="C40" s="18"/>
      <c r="D40" s="39"/>
      <c r="E40" s="39" t="s">
        <v>550</v>
      </c>
      <c r="F40" s="55"/>
      <c r="G40" s="605"/>
      <c r="H40" s="218"/>
      <c r="I40" s="218"/>
      <c r="J40" s="218"/>
      <c r="K40" s="218"/>
      <c r="L40" s="218"/>
      <c r="M40" s="218"/>
      <c r="N40" s="218"/>
      <c r="O40" s="218"/>
      <c r="P40" s="218"/>
      <c r="Q40" s="218"/>
      <c r="R40" s="218"/>
      <c r="S40" s="218"/>
      <c r="T40" s="218"/>
      <c r="U40" s="42"/>
      <c r="V40" s="55"/>
      <c r="W40" s="43"/>
      <c r="X40" s="38"/>
      <c r="Y40" s="38"/>
    </row>
    <row r="41" spans="1:26" x14ac:dyDescent="0.3">
      <c r="A41" s="39"/>
      <c r="B41" s="39"/>
      <c r="C41" s="18"/>
      <c r="D41" s="39"/>
      <c r="E41" s="39" t="s">
        <v>494</v>
      </c>
      <c r="F41" s="55"/>
      <c r="G41" s="605">
        <f>[27]summary!$H$27</f>
        <v>-52465000</v>
      </c>
      <c r="H41" s="218">
        <f>[28]summary!$M$28</f>
        <v>-1200137</v>
      </c>
      <c r="I41" s="218">
        <f>+[29]summary!$R$27</f>
        <v>-335047</v>
      </c>
      <c r="J41" s="218">
        <f>[30]summary!$W$27</f>
        <v>-112559</v>
      </c>
      <c r="K41" s="218">
        <f>[31]summary!$AB$27</f>
        <v>-339545</v>
      </c>
      <c r="L41" s="218">
        <f>[32]summary!$AG$27</f>
        <v>-212255</v>
      </c>
      <c r="M41" s="218">
        <f>[33]summary!$AL$27</f>
        <v>-223023</v>
      </c>
      <c r="N41" s="218">
        <f>[69]summary!$AQ$27</f>
        <v>-333330</v>
      </c>
      <c r="O41" s="218">
        <f>[70]summary!$AV$27</f>
        <v>-314155</v>
      </c>
      <c r="P41" s="218">
        <f>[36]summary!$BA$27</f>
        <v>-59957</v>
      </c>
      <c r="Q41" s="218">
        <f>[37]summary!$BF$27</f>
        <v>-397954</v>
      </c>
      <c r="R41" s="218">
        <f>[27]summary!$BK$27</f>
        <v>-281023</v>
      </c>
      <c r="S41" s="218">
        <f>[38]summary!$BP$27</f>
        <v>-49413606</v>
      </c>
      <c r="T41" s="218">
        <f>SUM(H41:S41)</f>
        <v>-53222591</v>
      </c>
      <c r="U41" s="42"/>
      <c r="V41" s="55"/>
      <c r="W41" s="43" t="e">
        <f>#REF!-#REF!</f>
        <v>#REF!</v>
      </c>
      <c r="X41" s="38" t="e">
        <f>SUM(#REF!)-#REF!</f>
        <v>#REF!</v>
      </c>
      <c r="Y41" s="38"/>
    </row>
    <row r="42" spans="1:26" ht="12.75" hidden="1" x14ac:dyDescent="0.2">
      <c r="A42" s="39"/>
      <c r="B42" s="39"/>
      <c r="C42" s="18"/>
      <c r="D42" s="39"/>
      <c r="E42" s="39" t="s">
        <v>551</v>
      </c>
      <c r="F42" s="55"/>
      <c r="G42" s="605">
        <v>0</v>
      </c>
      <c r="H42" s="218">
        <v>0</v>
      </c>
      <c r="I42" s="218">
        <v>0</v>
      </c>
      <c r="J42" s="218">
        <v>0</v>
      </c>
      <c r="K42" s="218">
        <v>0</v>
      </c>
      <c r="L42" s="218">
        <v>0</v>
      </c>
      <c r="M42" s="218">
        <v>0</v>
      </c>
      <c r="N42" s="218">
        <v>0</v>
      </c>
      <c r="O42" s="218">
        <v>0</v>
      </c>
      <c r="P42" s="218">
        <v>0</v>
      </c>
      <c r="Q42" s="218">
        <v>0</v>
      </c>
      <c r="R42" s="218">
        <v>0</v>
      </c>
      <c r="S42" s="218">
        <v>0</v>
      </c>
      <c r="T42" s="218">
        <f>SUM(H42:S42)</f>
        <v>0</v>
      </c>
      <c r="U42" s="42"/>
      <c r="V42" s="55"/>
      <c r="W42" s="43" t="e">
        <f>#REF!-#REF!</f>
        <v>#REF!</v>
      </c>
      <c r="X42" s="38" t="e">
        <f>SUM(#REF!)-#REF!</f>
        <v>#REF!</v>
      </c>
      <c r="Y42" s="38"/>
    </row>
    <row r="43" spans="1:26" x14ac:dyDescent="0.3">
      <c r="A43" s="39"/>
      <c r="B43" s="39"/>
      <c r="C43" s="18"/>
      <c r="D43" s="39"/>
      <c r="E43" s="39"/>
      <c r="F43" s="55"/>
      <c r="G43" s="605"/>
      <c r="H43" s="218"/>
      <c r="I43" s="218"/>
      <c r="J43" s="218"/>
      <c r="K43" s="218"/>
      <c r="L43" s="218"/>
      <c r="M43" s="218"/>
      <c r="N43" s="218"/>
      <c r="O43" s="218"/>
      <c r="P43" s="218"/>
      <c r="Q43" s="218"/>
      <c r="R43" s="218"/>
      <c r="S43" s="218"/>
      <c r="T43" s="218"/>
      <c r="U43" s="42"/>
      <c r="V43" s="55"/>
      <c r="W43" s="43"/>
      <c r="X43" s="38"/>
      <c r="Y43" s="38"/>
    </row>
    <row r="44" spans="1:26" x14ac:dyDescent="0.3">
      <c r="A44" s="39"/>
      <c r="B44" s="39"/>
      <c r="C44" s="18"/>
      <c r="D44" s="39" t="s">
        <v>552</v>
      </c>
      <c r="E44" s="39"/>
      <c r="F44" s="55"/>
      <c r="G44" s="605">
        <f>SUM(G45:G47)</f>
        <v>-42575</v>
      </c>
      <c r="H44" s="156">
        <f>SUM(H45:H47)</f>
        <v>0</v>
      </c>
      <c r="I44" s="156">
        <f>SUM(I45:I47)</f>
        <v>0</v>
      </c>
      <c r="J44" s="156">
        <f>SUM(J45:J47)</f>
        <v>0</v>
      </c>
      <c r="K44" s="156">
        <f>SUM(K45:K47)</f>
        <v>0</v>
      </c>
      <c r="L44" s="156">
        <f t="shared" ref="L44:Q44" si="6">SUM(L45:L47)</f>
        <v>0</v>
      </c>
      <c r="M44" s="156">
        <f>SUM(M45:M47)</f>
        <v>0</v>
      </c>
      <c r="N44" s="156">
        <f t="shared" si="6"/>
        <v>0</v>
      </c>
      <c r="O44" s="156">
        <f t="shared" si="6"/>
        <v>0</v>
      </c>
      <c r="P44" s="156">
        <f t="shared" si="6"/>
        <v>0</v>
      </c>
      <c r="Q44" s="156">
        <f t="shared" si="6"/>
        <v>0</v>
      </c>
      <c r="R44" s="156">
        <f>SUM(R45:R47)</f>
        <v>41714</v>
      </c>
      <c r="S44" s="156">
        <f>SUM(S45:S47)</f>
        <v>0</v>
      </c>
      <c r="T44" s="218">
        <f>SUM(T45:T47)</f>
        <v>41714</v>
      </c>
      <c r="U44" s="42"/>
      <c r="V44" s="55"/>
      <c r="W44" s="43" t="e">
        <f>#REF!-#REF!</f>
        <v>#REF!</v>
      </c>
      <c r="X44" s="38" t="e">
        <f>SUM(#REF!)-#REF!</f>
        <v>#REF!</v>
      </c>
      <c r="Y44" s="38"/>
    </row>
    <row r="45" spans="1:26" x14ac:dyDescent="0.3">
      <c r="A45" s="39"/>
      <c r="B45" s="39"/>
      <c r="C45" s="18"/>
      <c r="D45" s="39"/>
      <c r="E45" s="39" t="s">
        <v>548</v>
      </c>
      <c r="F45" s="55"/>
      <c r="G45" s="605">
        <f>[27]summary!$H$31</f>
        <v>5243353</v>
      </c>
      <c r="H45" s="218">
        <f>[28]summary!$M$32</f>
        <v>0</v>
      </c>
      <c r="I45" s="218">
        <f>[29]summary!$R$32</f>
        <v>0</v>
      </c>
      <c r="J45" s="218">
        <f>[30]summary!$W$31</f>
        <v>0</v>
      </c>
      <c r="K45" s="218">
        <f>[31]summary!$AB$31</f>
        <v>0</v>
      </c>
      <c r="L45" s="218">
        <f>[32]summary!$AG$31</f>
        <v>0</v>
      </c>
      <c r="M45" s="218">
        <f>[33]summary!$AL$31</f>
        <v>0</v>
      </c>
      <c r="N45" s="218">
        <f>[69]summary!$AQ$31</f>
        <v>0</v>
      </c>
      <c r="O45" s="218">
        <f>[70]summary!$AV$31</f>
        <v>0</v>
      </c>
      <c r="P45" s="218">
        <f>[36]summary!$BA$31</f>
        <v>0</v>
      </c>
      <c r="Q45" s="218">
        <f>[37]summary!$BF$31</f>
        <v>0</v>
      </c>
      <c r="R45" s="218">
        <f>[27]summary!$BK$31</f>
        <v>7577210</v>
      </c>
      <c r="S45" s="218">
        <f>[38]summary!$BP$31</f>
        <v>0</v>
      </c>
      <c r="T45" s="218">
        <f>SUM(H45:S45)</f>
        <v>7577210</v>
      </c>
      <c r="U45" s="42"/>
      <c r="V45" s="55"/>
      <c r="W45" s="43" t="e">
        <f>#REF!-#REF!</f>
        <v>#REF!</v>
      </c>
      <c r="X45" s="38" t="e">
        <f>SUM(#REF!)-#REF!</f>
        <v>#REF!</v>
      </c>
      <c r="Y45" s="38"/>
    </row>
    <row r="46" spans="1:26" x14ac:dyDescent="0.3">
      <c r="A46" s="39"/>
      <c r="B46" s="39"/>
      <c r="C46" s="18"/>
      <c r="D46" s="39"/>
      <c r="E46" s="39" t="s">
        <v>549</v>
      </c>
      <c r="F46" s="55"/>
      <c r="G46" s="605">
        <f>[27]summary!$H$32</f>
        <v>-405928</v>
      </c>
      <c r="H46" s="218">
        <f>[28]summary!$M$33</f>
        <v>0</v>
      </c>
      <c r="I46" s="218">
        <f>[29]summary!$R$33</f>
        <v>0</v>
      </c>
      <c r="J46" s="218">
        <f>[30]summary!$W$32</f>
        <v>0</v>
      </c>
      <c r="K46" s="218">
        <f>[31]summary!$AB$32</f>
        <v>0</v>
      </c>
      <c r="L46" s="218">
        <f>[32]summary!$AG$32</f>
        <v>0</v>
      </c>
      <c r="M46" s="218">
        <f>[33]summary!$AL$32</f>
        <v>0</v>
      </c>
      <c r="N46" s="218">
        <f>[69]summary!$AQ$32</f>
        <v>0</v>
      </c>
      <c r="O46" s="218">
        <f>[70]summary!$AV$32</f>
        <v>0</v>
      </c>
      <c r="P46" s="218">
        <f>[36]summary!$BA$32</f>
        <v>0</v>
      </c>
      <c r="Q46" s="218">
        <f>[37]summary!$BF$32</f>
        <v>0</v>
      </c>
      <c r="R46" s="218">
        <f>[27]summary!$BK$32</f>
        <v>-730496</v>
      </c>
      <c r="S46" s="218">
        <f>[38]summary!$BP$32</f>
        <v>0</v>
      </c>
      <c r="T46" s="218">
        <f>SUM(H46:S46)</f>
        <v>-730496</v>
      </c>
      <c r="U46" s="42"/>
      <c r="V46" s="55"/>
      <c r="W46" s="43" t="e">
        <f>#REF!-#REF!</f>
        <v>#REF!</v>
      </c>
      <c r="X46" s="38" t="e">
        <f>SUM(#REF!)-#REF!</f>
        <v>#REF!</v>
      </c>
      <c r="Y46" s="38"/>
      <c r="Z46" s="38"/>
    </row>
    <row r="47" spans="1:26" x14ac:dyDescent="0.3">
      <c r="A47" s="39"/>
      <c r="B47" s="39"/>
      <c r="C47" s="18"/>
      <c r="D47" s="39"/>
      <c r="E47" s="39" t="s">
        <v>553</v>
      </c>
      <c r="F47" s="55"/>
      <c r="G47" s="605">
        <f>[27]summary!$H$33</f>
        <v>-4880000</v>
      </c>
      <c r="H47" s="218">
        <f>[28]summary!$M$34</f>
        <v>0</v>
      </c>
      <c r="I47" s="218">
        <f>+[39]summary!$R$33</f>
        <v>0</v>
      </c>
      <c r="J47" s="218">
        <f>[30]summary!$W$33</f>
        <v>0</v>
      </c>
      <c r="K47" s="218">
        <f>[31]summary!$AB$33</f>
        <v>0</v>
      </c>
      <c r="L47" s="218">
        <f>[32]summary!$AG$33</f>
        <v>0</v>
      </c>
      <c r="M47" s="218">
        <f>[33]summary!$AL$33</f>
        <v>0</v>
      </c>
      <c r="N47" s="218">
        <f>[69]summary!$AQ$33</f>
        <v>0</v>
      </c>
      <c r="O47" s="218">
        <f>[70]summary!$AV$33</f>
        <v>0</v>
      </c>
      <c r="P47" s="218">
        <f>[36]summary!$BA$33</f>
        <v>0</v>
      </c>
      <c r="Q47" s="218">
        <f>[37]summary!$BF$33</f>
        <v>0</v>
      </c>
      <c r="R47" s="218">
        <f>[27]summary!$BK$33</f>
        <v>-6805000</v>
      </c>
      <c r="S47" s="218">
        <f>[38]summary!$BP$33</f>
        <v>0</v>
      </c>
      <c r="T47" s="218">
        <f>SUM(H47:S47)</f>
        <v>-6805000</v>
      </c>
      <c r="U47" s="42"/>
      <c r="V47" s="55"/>
      <c r="W47" s="43" t="e">
        <f>#REF!-#REF!</f>
        <v>#REF!</v>
      </c>
      <c r="X47" s="38" t="e">
        <f>SUM(#REF!)-#REF!</f>
        <v>#REF!</v>
      </c>
      <c r="Y47" s="38"/>
    </row>
    <row r="48" spans="1:26" x14ac:dyDescent="0.3">
      <c r="A48" s="39"/>
      <c r="B48" s="39"/>
      <c r="C48" s="18"/>
      <c r="D48" s="39"/>
      <c r="E48" s="39"/>
      <c r="F48" s="55"/>
      <c r="G48" s="605"/>
      <c r="H48" s="218"/>
      <c r="I48" s="218"/>
      <c r="J48" s="218"/>
      <c r="K48" s="218"/>
      <c r="L48" s="218"/>
      <c r="M48" s="218"/>
      <c r="N48" s="218"/>
      <c r="O48" s="218"/>
      <c r="P48" s="218"/>
      <c r="Q48" s="218"/>
      <c r="R48" s="218"/>
      <c r="S48" s="218"/>
      <c r="T48" s="218"/>
      <c r="U48" s="42"/>
      <c r="V48" s="55"/>
      <c r="W48" s="43"/>
      <c r="X48" s="38"/>
      <c r="Y48" s="38"/>
    </row>
    <row r="49" spans="1:25" x14ac:dyDescent="0.3">
      <c r="A49" s="39"/>
      <c r="B49" s="39"/>
      <c r="C49" s="18"/>
      <c r="D49" s="39" t="s">
        <v>554</v>
      </c>
      <c r="E49" s="39"/>
      <c r="F49" s="55"/>
      <c r="G49" s="605">
        <f t="shared" ref="G49:T49" si="7">SUM(G50:G51)</f>
        <v>0</v>
      </c>
      <c r="H49" s="156">
        <f t="shared" si="7"/>
        <v>0</v>
      </c>
      <c r="I49" s="156">
        <f>SUM(I50:I51)</f>
        <v>0</v>
      </c>
      <c r="J49" s="156">
        <f>SUM(J50:J51)</f>
        <v>0</v>
      </c>
      <c r="K49" s="156">
        <f>SUM(K50:K51)</f>
        <v>0</v>
      </c>
      <c r="L49" s="156">
        <f t="shared" si="7"/>
        <v>0</v>
      </c>
      <c r="M49" s="156">
        <f t="shared" si="7"/>
        <v>0</v>
      </c>
      <c r="N49" s="156">
        <f t="shared" si="7"/>
        <v>0</v>
      </c>
      <c r="O49" s="156">
        <f t="shared" si="7"/>
        <v>85877</v>
      </c>
      <c r="P49" s="156">
        <f t="shared" si="7"/>
        <v>-85877</v>
      </c>
      <c r="Q49" s="156">
        <f t="shared" si="7"/>
        <v>0</v>
      </c>
      <c r="R49" s="156">
        <f t="shared" si="7"/>
        <v>0</v>
      </c>
      <c r="S49" s="156">
        <f>SUM(S50:S51)</f>
        <v>0</v>
      </c>
      <c r="T49" s="218">
        <f t="shared" si="7"/>
        <v>0</v>
      </c>
      <c r="U49" s="42"/>
      <c r="V49" s="55"/>
      <c r="W49" s="43" t="e">
        <f>#REF!-#REF!</f>
        <v>#REF!</v>
      </c>
      <c r="X49" s="38" t="e">
        <f>SUM(#REF!)-#REF!</f>
        <v>#REF!</v>
      </c>
      <c r="Y49" s="38"/>
    </row>
    <row r="50" spans="1:25" x14ac:dyDescent="0.3">
      <c r="A50" s="39"/>
      <c r="B50" s="39"/>
      <c r="C50" s="18"/>
      <c r="D50" s="39"/>
      <c r="E50" s="39" t="s">
        <v>555</v>
      </c>
      <c r="F50" s="55"/>
      <c r="G50" s="605">
        <f>[27]summary!$H$36</f>
        <v>1028268</v>
      </c>
      <c r="H50" s="218">
        <f>[28]summary!$M$37</f>
        <v>487336</v>
      </c>
      <c r="I50" s="218">
        <f>+[29]summary!$R$36</f>
        <v>29682</v>
      </c>
      <c r="J50" s="218">
        <f>[30]summary!$W$36</f>
        <v>28489</v>
      </c>
      <c r="K50" s="218">
        <f>[31]summary!$AB$36</f>
        <v>0</v>
      </c>
      <c r="L50" s="218">
        <f>[32]summary!$AG$36</f>
        <v>41191</v>
      </c>
      <c r="M50" s="218">
        <f>[33]summary!$AL$36</f>
        <v>18552</v>
      </c>
      <c r="N50" s="218">
        <f>[69]summary!$AQ$36</f>
        <v>0</v>
      </c>
      <c r="O50" s="218">
        <f>[70]summary!$AV$36</f>
        <v>85877</v>
      </c>
      <c r="P50" s="218">
        <f>[36]summary!$BA$36</f>
        <v>204461</v>
      </c>
      <c r="Q50" s="218">
        <f>[37]summary!$BF$36</f>
        <v>132680</v>
      </c>
      <c r="R50" s="218">
        <f>[27]summary!$BK$36</f>
        <v>1279237</v>
      </c>
      <c r="S50" s="218">
        <f>[38]summary!$BP$36</f>
        <v>2584491</v>
      </c>
      <c r="T50" s="218">
        <f>SUM(H50:S50)</f>
        <v>4891996</v>
      </c>
      <c r="U50" s="42"/>
      <c r="V50" s="55"/>
      <c r="W50" s="43" t="e">
        <f>#REF!-#REF!</f>
        <v>#REF!</v>
      </c>
      <c r="X50" s="38" t="e">
        <f>SUM(#REF!)-#REF!</f>
        <v>#REF!</v>
      </c>
      <c r="Y50" s="38"/>
    </row>
    <row r="51" spans="1:25" x14ac:dyDescent="0.3">
      <c r="A51" s="39"/>
      <c r="B51" s="39"/>
      <c r="C51" s="18"/>
      <c r="D51" s="39"/>
      <c r="E51" s="39" t="s">
        <v>556</v>
      </c>
      <c r="F51" s="55"/>
      <c r="G51" s="605">
        <f>[27]summary!$H$37</f>
        <v>-1028268</v>
      </c>
      <c r="H51" s="218">
        <f>[28]summary!$M$38</f>
        <v>-487336</v>
      </c>
      <c r="I51" s="218">
        <f>+[29]summary!$R$37</f>
        <v>-29682</v>
      </c>
      <c r="J51" s="218">
        <f>[30]summary!$W$37</f>
        <v>-28489</v>
      </c>
      <c r="K51" s="218">
        <f>[31]summary!$AB$37</f>
        <v>0</v>
      </c>
      <c r="L51" s="218">
        <f>[32]summary!$AG$37</f>
        <v>-41191</v>
      </c>
      <c r="M51" s="218">
        <f>[33]summary!$AL$37</f>
        <v>-18552</v>
      </c>
      <c r="N51" s="218">
        <f>[69]summary!$AQ$37</f>
        <v>0</v>
      </c>
      <c r="O51" s="218">
        <f>[70]summary!$AV$37</f>
        <v>0</v>
      </c>
      <c r="P51" s="218">
        <f>[36]summary!$BA$37</f>
        <v>-290338</v>
      </c>
      <c r="Q51" s="218">
        <f>[37]summary!$BF$37</f>
        <v>-132680</v>
      </c>
      <c r="R51" s="218">
        <f>[27]summary!$BK$37</f>
        <v>-1279237</v>
      </c>
      <c r="S51" s="218">
        <f>[38]summary!$BP$37</f>
        <v>-2584491</v>
      </c>
      <c r="T51" s="218">
        <f>SUM(H51:S51)</f>
        <v>-4891996</v>
      </c>
      <c r="U51" s="42"/>
      <c r="V51" s="55"/>
      <c r="W51" s="43" t="e">
        <f>#REF!-#REF!</f>
        <v>#REF!</v>
      </c>
      <c r="X51" s="38" t="e">
        <f>SUM(#REF!)-#REF!</f>
        <v>#REF!</v>
      </c>
      <c r="Y51" s="38"/>
    </row>
    <row r="52" spans="1:25" x14ac:dyDescent="0.3">
      <c r="A52" s="39"/>
      <c r="B52" s="39"/>
      <c r="C52" s="18"/>
      <c r="D52" s="39"/>
      <c r="E52" s="39"/>
      <c r="F52" s="55"/>
      <c r="G52" s="605"/>
      <c r="H52" s="218"/>
      <c r="I52" s="218"/>
      <c r="J52" s="218"/>
      <c r="K52" s="218"/>
      <c r="L52" s="218"/>
      <c r="M52" s="218"/>
      <c r="N52" s="218"/>
      <c r="O52" s="218"/>
      <c r="P52" s="218"/>
      <c r="Q52" s="218"/>
      <c r="R52" s="218"/>
      <c r="S52" s="218"/>
      <c r="T52" s="218"/>
      <c r="U52" s="42"/>
      <c r="V52" s="55"/>
      <c r="W52" s="43"/>
      <c r="X52" s="38"/>
      <c r="Y52" s="38"/>
    </row>
    <row r="53" spans="1:25" ht="12.75" hidden="1" customHeight="1" x14ac:dyDescent="0.2">
      <c r="A53" s="39"/>
      <c r="B53" s="39"/>
      <c r="C53" s="18"/>
      <c r="D53" s="39" t="s">
        <v>557</v>
      </c>
      <c r="E53" s="39"/>
      <c r="F53" s="55"/>
      <c r="G53" s="404">
        <v>0</v>
      </c>
      <c r="H53" s="421">
        <f t="shared" ref="H53:S53" si="8">SUM(H54:H54)</f>
        <v>0</v>
      </c>
      <c r="I53" s="421">
        <f t="shared" si="8"/>
        <v>0</v>
      </c>
      <c r="J53" s="421">
        <f t="shared" si="8"/>
        <v>0</v>
      </c>
      <c r="K53" s="421">
        <f t="shared" si="8"/>
        <v>0</v>
      </c>
      <c r="L53" s="421">
        <f t="shared" si="8"/>
        <v>0</v>
      </c>
      <c r="M53" s="421">
        <f t="shared" si="8"/>
        <v>0</v>
      </c>
      <c r="N53" s="421">
        <f t="shared" si="8"/>
        <v>0</v>
      </c>
      <c r="O53" s="421">
        <f t="shared" si="8"/>
        <v>0</v>
      </c>
      <c r="P53" s="421">
        <f t="shared" si="8"/>
        <v>0</v>
      </c>
      <c r="Q53" s="421">
        <f t="shared" si="8"/>
        <v>0</v>
      </c>
      <c r="R53" s="421">
        <f t="shared" si="8"/>
        <v>0</v>
      </c>
      <c r="S53" s="421">
        <f t="shared" si="8"/>
        <v>0</v>
      </c>
      <c r="T53" s="421">
        <f>SUM(T54:T54)</f>
        <v>0</v>
      </c>
      <c r="U53" s="42"/>
      <c r="V53" s="55"/>
      <c r="W53" s="43" t="e">
        <f>#REF!-#REF!</f>
        <v>#REF!</v>
      </c>
      <c r="X53" s="38" t="e">
        <f>SUM(#REF!)-#REF!</f>
        <v>#REF!</v>
      </c>
      <c r="Y53" s="38"/>
    </row>
    <row r="54" spans="1:25" ht="12.75" hidden="1" customHeight="1" x14ac:dyDescent="0.2">
      <c r="A54" s="39"/>
      <c r="B54" s="39"/>
      <c r="C54" s="18"/>
      <c r="D54" s="39"/>
      <c r="E54" s="39" t="s">
        <v>548</v>
      </c>
      <c r="F54" s="55"/>
      <c r="G54" s="404">
        <v>0</v>
      </c>
      <c r="H54" s="421">
        <v>0</v>
      </c>
      <c r="I54" s="421">
        <v>0</v>
      </c>
      <c r="J54" s="421">
        <v>0</v>
      </c>
      <c r="K54" s="421">
        <v>0</v>
      </c>
      <c r="L54" s="421">
        <v>0</v>
      </c>
      <c r="M54" s="421">
        <v>0</v>
      </c>
      <c r="N54" s="421">
        <v>0</v>
      </c>
      <c r="O54" s="421">
        <v>0</v>
      </c>
      <c r="P54" s="421">
        <v>0</v>
      </c>
      <c r="Q54" s="421">
        <v>0</v>
      </c>
      <c r="R54" s="421">
        <v>0</v>
      </c>
      <c r="S54" s="421">
        <v>0</v>
      </c>
      <c r="T54" s="218">
        <f>SUM(H54:S54)</f>
        <v>0</v>
      </c>
      <c r="U54" s="42"/>
      <c r="V54" s="55"/>
      <c r="W54" s="43" t="e">
        <f>#REF!-#REF!</f>
        <v>#REF!</v>
      </c>
      <c r="X54" s="38" t="e">
        <f>SUM(#REF!)-#REF!</f>
        <v>#REF!</v>
      </c>
      <c r="Y54" s="38"/>
    </row>
    <row r="55" spans="1:25" ht="12.75" hidden="1" customHeight="1" x14ac:dyDescent="0.2">
      <c r="A55" s="39"/>
      <c r="B55" s="39"/>
      <c r="C55" s="18"/>
      <c r="D55" s="39"/>
      <c r="E55" s="39"/>
      <c r="F55" s="55"/>
      <c r="G55" s="605"/>
      <c r="H55" s="218"/>
      <c r="I55" s="218"/>
      <c r="J55" s="218"/>
      <c r="K55" s="218"/>
      <c r="L55" s="218"/>
      <c r="M55" s="218"/>
      <c r="N55" s="218"/>
      <c r="O55" s="218"/>
      <c r="P55" s="218"/>
      <c r="Q55" s="218"/>
      <c r="R55" s="218"/>
      <c r="S55" s="218"/>
      <c r="T55" s="218"/>
      <c r="U55" s="42"/>
      <c r="V55" s="55"/>
      <c r="W55" s="43" t="e">
        <f>#REF!-#REF!</f>
        <v>#REF!</v>
      </c>
      <c r="X55" s="38" t="e">
        <f>SUM(#REF!)-#REF!</f>
        <v>#REF!</v>
      </c>
      <c r="Y55" s="38"/>
    </row>
    <row r="56" spans="1:25" s="24" customFormat="1" x14ac:dyDescent="0.3">
      <c r="A56" s="7"/>
      <c r="B56" s="7"/>
      <c r="C56" s="16" t="s">
        <v>345</v>
      </c>
      <c r="D56" s="7"/>
      <c r="E56" s="7"/>
      <c r="F56" s="586"/>
      <c r="G56" s="126">
        <f t="shared" ref="G56:T56" si="9">+G58+G65+G72</f>
        <v>92653000</v>
      </c>
      <c r="H56" s="123">
        <f t="shared" si="9"/>
        <v>-777665</v>
      </c>
      <c r="I56" s="123">
        <f t="shared" si="9"/>
        <v>-4931986</v>
      </c>
      <c r="J56" s="123">
        <f t="shared" si="9"/>
        <v>-8699700</v>
      </c>
      <c r="K56" s="123">
        <f t="shared" si="9"/>
        <v>86911584</v>
      </c>
      <c r="L56" s="123">
        <f t="shared" si="9"/>
        <v>0</v>
      </c>
      <c r="M56" s="123">
        <f t="shared" si="9"/>
        <v>0</v>
      </c>
      <c r="N56" s="123">
        <f t="shared" si="9"/>
        <v>5008164</v>
      </c>
      <c r="O56" s="123">
        <f t="shared" si="9"/>
        <v>-6967</v>
      </c>
      <c r="P56" s="123">
        <f>+P58+P65+P72</f>
        <v>0</v>
      </c>
      <c r="Q56" s="123">
        <f>+Q58+Q65+Q72</f>
        <v>0</v>
      </c>
      <c r="R56" s="123">
        <f>+R58+R65+R72</f>
        <v>0</v>
      </c>
      <c r="S56" s="123">
        <f>+S58+S65+S72</f>
        <v>0</v>
      </c>
      <c r="T56" s="123">
        <f t="shared" si="9"/>
        <v>77503430</v>
      </c>
      <c r="U56" s="77"/>
      <c r="V56" s="586"/>
      <c r="W56" s="43" t="e">
        <f>#REF!-#REF!</f>
        <v>#REF!</v>
      </c>
      <c r="X56" s="38" t="e">
        <f>SUM(#REF!)-#REF!</f>
        <v>#REF!</v>
      </c>
      <c r="Y56" s="38"/>
    </row>
    <row r="57" spans="1:25" x14ac:dyDescent="0.3">
      <c r="A57" s="39"/>
      <c r="B57" s="39"/>
      <c r="C57" s="18"/>
      <c r="D57" s="39"/>
      <c r="E57" s="39"/>
      <c r="F57" s="55"/>
      <c r="G57" s="605"/>
      <c r="H57" s="218"/>
      <c r="I57" s="218"/>
      <c r="J57" s="218"/>
      <c r="K57" s="218"/>
      <c r="L57" s="218"/>
      <c r="M57" s="218"/>
      <c r="N57" s="218"/>
      <c r="O57" s="218"/>
      <c r="P57" s="218"/>
      <c r="Q57" s="218"/>
      <c r="R57" s="218"/>
      <c r="S57" s="218"/>
      <c r="T57" s="218"/>
      <c r="U57" s="42"/>
      <c r="V57" s="55"/>
      <c r="W57" s="43"/>
      <c r="X57" s="38"/>
      <c r="Y57" s="38"/>
    </row>
    <row r="58" spans="1:25" x14ac:dyDescent="0.3">
      <c r="A58" s="39"/>
      <c r="B58" s="39"/>
      <c r="C58" s="18"/>
      <c r="D58" s="39" t="s">
        <v>547</v>
      </c>
      <c r="E58" s="39"/>
      <c r="F58" s="55"/>
      <c r="G58" s="605">
        <f t="shared" ref="G58:L58" si="10">SUM(G59:G63)</f>
        <v>92653000</v>
      </c>
      <c r="H58" s="605">
        <f t="shared" si="10"/>
        <v>-777665</v>
      </c>
      <c r="I58" s="605">
        <f>SUM(I59:I63)</f>
        <v>-4931986</v>
      </c>
      <c r="J58" s="605">
        <f t="shared" si="10"/>
        <v>-8699700</v>
      </c>
      <c r="K58" s="605">
        <f t="shared" si="10"/>
        <v>86911584</v>
      </c>
      <c r="L58" s="605">
        <f t="shared" si="10"/>
        <v>0</v>
      </c>
      <c r="M58" s="605">
        <f t="shared" ref="M58:T58" si="11">SUM(M59:M63)</f>
        <v>0</v>
      </c>
      <c r="N58" s="605">
        <f t="shared" si="11"/>
        <v>5008164</v>
      </c>
      <c r="O58" s="605">
        <f t="shared" si="11"/>
        <v>-6967</v>
      </c>
      <c r="P58" s="605">
        <f>SUM(P59:P63)</f>
        <v>0</v>
      </c>
      <c r="Q58" s="605">
        <f>SUM(Q59:Q63)</f>
        <v>0</v>
      </c>
      <c r="R58" s="605">
        <f>SUM(R59:R63)</f>
        <v>0</v>
      </c>
      <c r="S58" s="605">
        <f>SUM(S59:S63)</f>
        <v>0</v>
      </c>
      <c r="T58" s="605">
        <f t="shared" si="11"/>
        <v>77503430</v>
      </c>
      <c r="U58" s="42"/>
      <c r="V58" s="55"/>
      <c r="W58" s="43" t="e">
        <f>#REF!-#REF!</f>
        <v>#REF!</v>
      </c>
      <c r="X58" s="38" t="e">
        <f>SUM(#REF!)-#REF!</f>
        <v>#REF!</v>
      </c>
      <c r="Y58" s="38"/>
    </row>
    <row r="59" spans="1:25" x14ac:dyDescent="0.3">
      <c r="A59" s="39"/>
      <c r="B59" s="39"/>
      <c r="C59" s="18"/>
      <c r="D59" s="39"/>
      <c r="E59" s="39" t="s">
        <v>548</v>
      </c>
      <c r="F59" s="55"/>
      <c r="G59" s="605">
        <f>[27]summary!$H$46</f>
        <v>107070000</v>
      </c>
      <c r="H59" s="218">
        <f>[28]summary!$M$47</f>
        <v>0</v>
      </c>
      <c r="I59" s="218">
        <f>[29]summary!$R$47</f>
        <v>0</v>
      </c>
      <c r="J59" s="218">
        <f>[30]summary!$W$46</f>
        <v>0</v>
      </c>
      <c r="K59" s="218">
        <f>[31]summary!$AB$46</f>
        <v>86911584</v>
      </c>
      <c r="L59" s="218">
        <f>[32]summary!$AG$46</f>
        <v>0</v>
      </c>
      <c r="M59" s="218">
        <f>[33]summary!$AL$46</f>
        <v>0</v>
      </c>
      <c r="N59" s="218">
        <f>[69]summary!$AQ$46</f>
        <v>5008164</v>
      </c>
      <c r="O59" s="218">
        <f>[70]summary!$AV$46</f>
        <v>0</v>
      </c>
      <c r="P59" s="218">
        <f>[36]summary!$BA$46</f>
        <v>0</v>
      </c>
      <c r="Q59" s="218">
        <f>[37]summary!$BF$46</f>
        <v>0</v>
      </c>
      <c r="R59" s="218">
        <f>[27]summary!$BK$46</f>
        <v>0</v>
      </c>
      <c r="S59" s="218">
        <f>[38]summary!$BP$46</f>
        <v>0</v>
      </c>
      <c r="T59" s="218">
        <f>SUM(H59:S59)</f>
        <v>91919748</v>
      </c>
      <c r="U59" s="42"/>
      <c r="V59" s="55"/>
      <c r="W59" s="43" t="e">
        <f>#REF!-#REF!</f>
        <v>#REF!</v>
      </c>
      <c r="X59" s="38" t="e">
        <f>SUM(#REF!)-#REF!</f>
        <v>#REF!</v>
      </c>
      <c r="Y59" s="38"/>
    </row>
    <row r="60" spans="1:25" ht="12.75" hidden="1" x14ac:dyDescent="0.2">
      <c r="A60" s="39"/>
      <c r="B60" s="39"/>
      <c r="C60" s="18"/>
      <c r="D60" s="39"/>
      <c r="E60" s="39" t="s">
        <v>549</v>
      </c>
      <c r="F60" s="55"/>
      <c r="G60" s="605">
        <f>[69]summary!$H$47</f>
        <v>0</v>
      </c>
      <c r="H60" s="218">
        <f>[28]summary!$M$48</f>
        <v>0</v>
      </c>
      <c r="I60" s="218">
        <f>+[39]summary!$R$48</f>
        <v>0</v>
      </c>
      <c r="J60" s="218">
        <f>[30]summary!$W$47</f>
        <v>0</v>
      </c>
      <c r="K60" s="218">
        <f>[31]summary!$AB$47</f>
        <v>0</v>
      </c>
      <c r="L60" s="218">
        <f>[32]summary!$AG$47</f>
        <v>0</v>
      </c>
      <c r="M60" s="218">
        <f>[33]summary!$AL$47</f>
        <v>0</v>
      </c>
      <c r="N60" s="218">
        <f>[69]summary!$AQ$47</f>
        <v>0</v>
      </c>
      <c r="O60" s="218">
        <v>0</v>
      </c>
      <c r="P60" s="218">
        <v>0</v>
      </c>
      <c r="Q60" s="218">
        <v>0</v>
      </c>
      <c r="R60" s="218">
        <v>0</v>
      </c>
      <c r="S60" s="218">
        <v>0</v>
      </c>
      <c r="T60" s="218">
        <f>SUM(H60:S60)</f>
        <v>0</v>
      </c>
      <c r="U60" s="42"/>
      <c r="V60" s="55"/>
      <c r="W60" s="43" t="e">
        <f>#REF!-#REF!</f>
        <v>#REF!</v>
      </c>
      <c r="X60" s="38" t="e">
        <f>SUM(#REF!)-#REF!</f>
        <v>#REF!</v>
      </c>
      <c r="Y60" s="38"/>
    </row>
    <row r="61" spans="1:25" x14ac:dyDescent="0.3">
      <c r="A61" s="39"/>
      <c r="B61" s="39"/>
      <c r="C61" s="18"/>
      <c r="D61" s="39"/>
      <c r="E61" s="39" t="s">
        <v>494</v>
      </c>
      <c r="F61" s="55"/>
      <c r="G61" s="605"/>
      <c r="H61" s="218"/>
      <c r="I61" s="218"/>
      <c r="J61" s="218"/>
      <c r="K61" s="218"/>
      <c r="L61" s="218"/>
      <c r="M61" s="218"/>
      <c r="N61" s="218"/>
      <c r="O61" s="218"/>
      <c r="P61" s="218"/>
      <c r="Q61" s="218"/>
      <c r="R61" s="218"/>
      <c r="S61" s="218"/>
      <c r="T61" s="218"/>
      <c r="U61" s="42"/>
      <c r="V61" s="55"/>
      <c r="W61" s="43"/>
      <c r="X61" s="38"/>
      <c r="Y61" s="38"/>
    </row>
    <row r="62" spans="1:25" x14ac:dyDescent="0.3">
      <c r="A62" s="39"/>
      <c r="B62" s="39"/>
      <c r="C62" s="18"/>
      <c r="D62" s="39"/>
      <c r="E62" s="63" t="s">
        <v>558</v>
      </c>
      <c r="F62" s="55"/>
      <c r="G62" s="605">
        <f>[27]summary!$H$49</f>
        <v>-7961000</v>
      </c>
      <c r="H62" s="218">
        <f>[28]summary!$M$50</f>
        <v>-391647</v>
      </c>
      <c r="I62" s="218">
        <f>+[29]summary!$R$49</f>
        <v>-1962723</v>
      </c>
      <c r="J62" s="218">
        <f>[30]summary!$W$49</f>
        <v>-5604275</v>
      </c>
      <c r="K62" s="218">
        <f>[31]summary!$AB$49</f>
        <v>0</v>
      </c>
      <c r="L62" s="218">
        <f>[32]summary!$AG$49</f>
        <v>0</v>
      </c>
      <c r="M62" s="218">
        <f>[33]summary!$AL$49</f>
        <v>0</v>
      </c>
      <c r="N62" s="218">
        <f>[69]summary!$AQ$49</f>
        <v>0</v>
      </c>
      <c r="O62" s="218">
        <f>[70]summary!$AV$49</f>
        <v>-1940</v>
      </c>
      <c r="P62" s="218">
        <f>[36]summary!$BA$49</f>
        <v>0</v>
      </c>
      <c r="Q62" s="218">
        <f>[37]summary!$BF$49</f>
        <v>0</v>
      </c>
      <c r="R62" s="218">
        <f>[27]summary!$BK$49</f>
        <v>0</v>
      </c>
      <c r="S62" s="218">
        <f>[38]summary!$BP$49</f>
        <v>0</v>
      </c>
      <c r="T62" s="218">
        <f>SUM(H62:S62)</f>
        <v>-7960585</v>
      </c>
      <c r="U62" s="42"/>
      <c r="V62" s="55"/>
      <c r="W62" s="43" t="e">
        <f>#REF!-#REF!</f>
        <v>#REF!</v>
      </c>
      <c r="X62" s="38" t="e">
        <f>SUM(#REF!)-#REF!</f>
        <v>#REF!</v>
      </c>
      <c r="Y62" s="38"/>
    </row>
    <row r="63" spans="1:25" x14ac:dyDescent="0.3">
      <c r="A63" s="39"/>
      <c r="B63" s="39"/>
      <c r="C63" s="18"/>
      <c r="D63" s="39"/>
      <c r="E63" s="63" t="s">
        <v>559</v>
      </c>
      <c r="F63" s="600"/>
      <c r="G63" s="605">
        <f>[27]summary!$H$50</f>
        <v>-6456000</v>
      </c>
      <c r="H63" s="218">
        <f>[28]summary!$M$51</f>
        <v>-386018</v>
      </c>
      <c r="I63" s="218">
        <f>+[29]summary!$R$50</f>
        <v>-2969263</v>
      </c>
      <c r="J63" s="218">
        <f>[30]summary!$W$50</f>
        <v>-3095425</v>
      </c>
      <c r="K63" s="218">
        <f>[31]summary!$AB$50</f>
        <v>0</v>
      </c>
      <c r="L63" s="218">
        <f>[32]summary!$AG$50</f>
        <v>0</v>
      </c>
      <c r="M63" s="218">
        <f>[33]summary!$AL$50</f>
        <v>0</v>
      </c>
      <c r="N63" s="218">
        <f>[69]summary!$AQ$50</f>
        <v>0</v>
      </c>
      <c r="O63" s="218">
        <f>[70]summary!$AV$50</f>
        <v>-5027</v>
      </c>
      <c r="P63" s="218">
        <f>[36]summary!$BA$50</f>
        <v>0</v>
      </c>
      <c r="Q63" s="218">
        <f>[37]summary!$BF$50</f>
        <v>0</v>
      </c>
      <c r="R63" s="218">
        <f>[27]summary!$BK$50</f>
        <v>0</v>
      </c>
      <c r="S63" s="218">
        <f>[38]summary!$BP$50</f>
        <v>0</v>
      </c>
      <c r="T63" s="218">
        <f>SUM(H63:S63)</f>
        <v>-6455733</v>
      </c>
      <c r="U63" s="42"/>
      <c r="V63" s="55"/>
      <c r="W63" s="43" t="e">
        <f>#REF!-#REF!</f>
        <v>#REF!</v>
      </c>
      <c r="X63" s="38" t="e">
        <f>SUM(#REF!)-#REF!</f>
        <v>#REF!</v>
      </c>
      <c r="Y63" s="38"/>
    </row>
    <row r="64" spans="1:25" x14ac:dyDescent="0.3">
      <c r="A64" s="39"/>
      <c r="B64" s="39"/>
      <c r="C64" s="18"/>
      <c r="D64" s="39"/>
      <c r="E64" s="63"/>
      <c r="F64" s="600"/>
      <c r="G64" s="605"/>
      <c r="H64" s="218"/>
      <c r="I64" s="218"/>
      <c r="J64" s="218"/>
      <c r="K64" s="218"/>
      <c r="L64" s="218"/>
      <c r="M64" s="218"/>
      <c r="N64" s="218"/>
      <c r="O64" s="218"/>
      <c r="P64" s="218"/>
      <c r="Q64" s="218"/>
      <c r="R64" s="218"/>
      <c r="S64" s="218"/>
      <c r="T64" s="218"/>
      <c r="U64" s="42"/>
      <c r="V64" s="55"/>
      <c r="W64" s="43"/>
      <c r="X64" s="38"/>
      <c r="Y64" s="38"/>
    </row>
    <row r="65" spans="1:25" ht="12.75" hidden="1" x14ac:dyDescent="0.2">
      <c r="A65" s="39"/>
      <c r="B65" s="39"/>
      <c r="C65" s="18"/>
      <c r="D65" s="39" t="s">
        <v>552</v>
      </c>
      <c r="E65" s="39"/>
      <c r="F65" s="600"/>
      <c r="G65" s="605">
        <f t="shared" ref="G65:S65" si="12">SUM(G66:G70)</f>
        <v>0</v>
      </c>
      <c r="H65" s="605">
        <f t="shared" si="12"/>
        <v>0</v>
      </c>
      <c r="I65" s="605">
        <f t="shared" si="12"/>
        <v>0</v>
      </c>
      <c r="J65" s="605">
        <f t="shared" si="12"/>
        <v>0</v>
      </c>
      <c r="K65" s="605">
        <f t="shared" si="12"/>
        <v>0</v>
      </c>
      <c r="L65" s="605">
        <f t="shared" si="12"/>
        <v>0</v>
      </c>
      <c r="M65" s="605">
        <f t="shared" si="12"/>
        <v>0</v>
      </c>
      <c r="N65" s="605">
        <f t="shared" si="12"/>
        <v>0</v>
      </c>
      <c r="O65" s="605">
        <f t="shared" si="12"/>
        <v>0</v>
      </c>
      <c r="P65" s="605">
        <f t="shared" si="12"/>
        <v>0</v>
      </c>
      <c r="Q65" s="605">
        <f t="shared" si="12"/>
        <v>0</v>
      </c>
      <c r="R65" s="605">
        <f t="shared" si="12"/>
        <v>0</v>
      </c>
      <c r="S65" s="605">
        <f t="shared" si="12"/>
        <v>0</v>
      </c>
      <c r="T65" s="218">
        <f>SUM(T66:T70)</f>
        <v>0</v>
      </c>
      <c r="U65" s="42"/>
      <c r="V65" s="55"/>
      <c r="W65" s="43" t="e">
        <f>#REF!-#REF!</f>
        <v>#REF!</v>
      </c>
      <c r="X65" s="38" t="e">
        <f>SUM(#REF!)-#REF!</f>
        <v>#REF!</v>
      </c>
      <c r="Y65" s="38"/>
    </row>
    <row r="66" spans="1:25" ht="12.75" hidden="1" x14ac:dyDescent="0.2">
      <c r="A66" s="39"/>
      <c r="B66" s="39"/>
      <c r="C66" s="18"/>
      <c r="D66" s="39"/>
      <c r="E66" s="39" t="s">
        <v>548</v>
      </c>
      <c r="F66" s="600"/>
      <c r="G66" s="605">
        <f>[71]summary!$H$55</f>
        <v>0</v>
      </c>
      <c r="H66" s="605">
        <f>[71]summary!$M$55</f>
        <v>0</v>
      </c>
      <c r="I66" s="605">
        <f>[72]summary!$R$55</f>
        <v>0</v>
      </c>
      <c r="J66" s="605">
        <v>0</v>
      </c>
      <c r="K66" s="605">
        <v>0</v>
      </c>
      <c r="L66" s="605">
        <v>0</v>
      </c>
      <c r="M66" s="605">
        <v>0</v>
      </c>
      <c r="N66" s="605">
        <v>0</v>
      </c>
      <c r="O66" s="605">
        <v>0</v>
      </c>
      <c r="P66" s="605">
        <v>0</v>
      </c>
      <c r="Q66" s="605">
        <v>0</v>
      </c>
      <c r="R66" s="605">
        <v>0</v>
      </c>
      <c r="S66" s="605">
        <f>[73]summary!$BP$55</f>
        <v>0</v>
      </c>
      <c r="T66" s="218">
        <f>SUM(H66:S66)</f>
        <v>0</v>
      </c>
      <c r="U66" s="42"/>
      <c r="V66" s="55"/>
      <c r="W66" s="43" t="e">
        <f>#REF!-#REF!</f>
        <v>#REF!</v>
      </c>
      <c r="X66" s="38" t="e">
        <f>SUM(#REF!)-#REF!</f>
        <v>#REF!</v>
      </c>
      <c r="Y66" s="38"/>
    </row>
    <row r="67" spans="1:25" ht="12.75" hidden="1" x14ac:dyDescent="0.2">
      <c r="A67" s="39"/>
      <c r="B67" s="39"/>
      <c r="C67" s="18"/>
      <c r="D67" s="39"/>
      <c r="E67" s="39" t="s">
        <v>549</v>
      </c>
      <c r="F67" s="600"/>
      <c r="G67" s="605">
        <f>[71]summary!$H$56</f>
        <v>0</v>
      </c>
      <c r="H67" s="605">
        <f>[71]summary!$M$56</f>
        <v>0</v>
      </c>
      <c r="I67" s="605">
        <f>[72]summary!$R$56</f>
        <v>0</v>
      </c>
      <c r="J67" s="605">
        <v>0</v>
      </c>
      <c r="K67" s="605">
        <v>0</v>
      </c>
      <c r="L67" s="605">
        <v>0</v>
      </c>
      <c r="M67" s="605">
        <v>0</v>
      </c>
      <c r="N67" s="605">
        <v>0</v>
      </c>
      <c r="O67" s="605">
        <v>0</v>
      </c>
      <c r="P67" s="605">
        <v>0</v>
      </c>
      <c r="Q67" s="605">
        <v>0</v>
      </c>
      <c r="R67" s="605">
        <v>0</v>
      </c>
      <c r="S67" s="605">
        <f>[73]summary!$BP$56</f>
        <v>0</v>
      </c>
      <c r="T67" s="218">
        <f>SUM(H67:S67)</f>
        <v>0</v>
      </c>
      <c r="U67" s="42"/>
      <c r="V67" s="55"/>
      <c r="W67" s="43" t="e">
        <f>#REF!-#REF!</f>
        <v>#REF!</v>
      </c>
      <c r="X67" s="38" t="e">
        <f>SUM(#REF!)-#REF!</f>
        <v>#REF!</v>
      </c>
      <c r="Y67" s="38"/>
    </row>
    <row r="68" spans="1:25" ht="12.75" hidden="1" x14ac:dyDescent="0.2">
      <c r="A68" s="39"/>
      <c r="B68" s="39"/>
      <c r="C68" s="18"/>
      <c r="D68" s="39"/>
      <c r="E68" s="39" t="s">
        <v>560</v>
      </c>
      <c r="F68" s="600"/>
      <c r="G68" s="605"/>
      <c r="H68" s="605"/>
      <c r="I68" s="605"/>
      <c r="J68" s="605"/>
      <c r="K68" s="605"/>
      <c r="L68" s="605"/>
      <c r="M68" s="605"/>
      <c r="N68" s="605"/>
      <c r="O68" s="605"/>
      <c r="P68" s="605"/>
      <c r="Q68" s="605"/>
      <c r="R68" s="605"/>
      <c r="S68" s="605"/>
      <c r="T68" s="218"/>
      <c r="U68" s="42"/>
      <c r="V68" s="55"/>
      <c r="W68" s="43" t="e">
        <f>#REF!-#REF!</f>
        <v>#REF!</v>
      </c>
      <c r="X68" s="38" t="e">
        <f>SUM(#REF!)-#REF!</f>
        <v>#REF!</v>
      </c>
      <c r="Y68" s="38"/>
    </row>
    <row r="69" spans="1:25" ht="12.75" hidden="1" x14ac:dyDescent="0.2">
      <c r="A69" s="39"/>
      <c r="B69" s="39"/>
      <c r="C69" s="18"/>
      <c r="D69" s="39"/>
      <c r="E69" s="63" t="s">
        <v>558</v>
      </c>
      <c r="F69" s="600"/>
      <c r="G69" s="605">
        <f>[71]summary!$H$58</f>
        <v>0</v>
      </c>
      <c r="H69" s="605">
        <f>[71]summary!$M$58</f>
        <v>0</v>
      </c>
      <c r="I69" s="605">
        <f>[72]summary!$R$58</f>
        <v>0</v>
      </c>
      <c r="J69" s="605">
        <v>0</v>
      </c>
      <c r="K69" s="605">
        <v>0</v>
      </c>
      <c r="L69" s="605">
        <v>0</v>
      </c>
      <c r="M69" s="605">
        <v>0</v>
      </c>
      <c r="N69" s="605">
        <v>0</v>
      </c>
      <c r="O69" s="605">
        <v>0</v>
      </c>
      <c r="P69" s="605">
        <v>0</v>
      </c>
      <c r="Q69" s="605">
        <v>0</v>
      </c>
      <c r="R69" s="605">
        <v>0</v>
      </c>
      <c r="S69" s="605">
        <f>[73]summary!$BP$58</f>
        <v>0</v>
      </c>
      <c r="T69" s="218">
        <f>SUM(H69:S69)</f>
        <v>0</v>
      </c>
      <c r="U69" s="42"/>
      <c r="V69" s="55"/>
      <c r="W69" s="43" t="e">
        <f>#REF!-#REF!</f>
        <v>#REF!</v>
      </c>
      <c r="X69" s="38" t="e">
        <f>SUM(#REF!)-#REF!</f>
        <v>#REF!</v>
      </c>
      <c r="Y69" s="38"/>
    </row>
    <row r="70" spans="1:25" ht="12.75" hidden="1" x14ac:dyDescent="0.2">
      <c r="A70" s="39"/>
      <c r="B70" s="39"/>
      <c r="C70" s="18"/>
      <c r="D70" s="39"/>
      <c r="E70" s="63" t="s">
        <v>559</v>
      </c>
      <c r="F70" s="600"/>
      <c r="G70" s="605">
        <f>[71]summary!$H$59</f>
        <v>0</v>
      </c>
      <c r="H70" s="605">
        <f>[71]summary!$M$59</f>
        <v>0</v>
      </c>
      <c r="I70" s="605">
        <f>[72]summary!$R$59</f>
        <v>0</v>
      </c>
      <c r="J70" s="605">
        <v>0</v>
      </c>
      <c r="K70" s="605">
        <v>0</v>
      </c>
      <c r="L70" s="605">
        <v>0</v>
      </c>
      <c r="M70" s="605">
        <v>0</v>
      </c>
      <c r="N70" s="605">
        <v>0</v>
      </c>
      <c r="O70" s="605">
        <v>0</v>
      </c>
      <c r="P70" s="605">
        <v>0</v>
      </c>
      <c r="Q70" s="605">
        <v>0</v>
      </c>
      <c r="R70" s="605">
        <v>0</v>
      </c>
      <c r="S70" s="605">
        <f>[73]summary!$BP$59</f>
        <v>0</v>
      </c>
      <c r="T70" s="218">
        <f>SUM(H70:S70)</f>
        <v>0</v>
      </c>
      <c r="U70" s="42"/>
      <c r="V70" s="55"/>
      <c r="W70" s="43" t="e">
        <f>#REF!-#REF!</f>
        <v>#REF!</v>
      </c>
      <c r="X70" s="38" t="e">
        <f>SUM(#REF!)-#REF!</f>
        <v>#REF!</v>
      </c>
      <c r="Y70" s="38"/>
    </row>
    <row r="71" spans="1:25" ht="12.75" hidden="1" x14ac:dyDescent="0.2">
      <c r="A71" s="39"/>
      <c r="B71" s="39"/>
      <c r="C71" s="18"/>
      <c r="D71" s="39"/>
      <c r="E71" s="63"/>
      <c r="F71" s="600"/>
      <c r="G71" s="605"/>
      <c r="H71" s="605"/>
      <c r="I71" s="605"/>
      <c r="J71" s="605"/>
      <c r="K71" s="605"/>
      <c r="L71" s="605"/>
      <c r="M71" s="605"/>
      <c r="N71" s="605"/>
      <c r="O71" s="605"/>
      <c r="P71" s="605"/>
      <c r="Q71" s="605"/>
      <c r="R71" s="605"/>
      <c r="S71" s="605"/>
      <c r="T71" s="218"/>
      <c r="U71" s="42"/>
      <c r="V71" s="55"/>
      <c r="W71" s="43" t="e">
        <f>#REF!-#REF!</f>
        <v>#REF!</v>
      </c>
      <c r="X71" s="38" t="e">
        <f>SUM(#REF!)-#REF!</f>
        <v>#REF!</v>
      </c>
      <c r="Y71" s="38"/>
    </row>
    <row r="72" spans="1:25" ht="12.75" hidden="1" x14ac:dyDescent="0.2">
      <c r="A72" s="39"/>
      <c r="B72" s="39"/>
      <c r="C72" s="18"/>
      <c r="D72" s="39" t="s">
        <v>561</v>
      </c>
      <c r="E72" s="39"/>
      <c r="F72" s="600"/>
      <c r="G72" s="605">
        <v>0</v>
      </c>
      <c r="H72" s="605">
        <f t="shared" ref="H72:S72" si="13">SUM(H73:H77)</f>
        <v>0</v>
      </c>
      <c r="I72" s="605">
        <f t="shared" si="13"/>
        <v>0</v>
      </c>
      <c r="J72" s="605">
        <f t="shared" si="13"/>
        <v>0</v>
      </c>
      <c r="K72" s="605">
        <f t="shared" si="13"/>
        <v>0</v>
      </c>
      <c r="L72" s="605">
        <f t="shared" si="13"/>
        <v>0</v>
      </c>
      <c r="M72" s="605">
        <f t="shared" si="13"/>
        <v>0</v>
      </c>
      <c r="N72" s="605">
        <f t="shared" si="13"/>
        <v>0</v>
      </c>
      <c r="O72" s="605">
        <f t="shared" si="13"/>
        <v>0</v>
      </c>
      <c r="P72" s="605">
        <f t="shared" si="13"/>
        <v>0</v>
      </c>
      <c r="Q72" s="605">
        <f t="shared" si="13"/>
        <v>0</v>
      </c>
      <c r="R72" s="605">
        <f t="shared" si="13"/>
        <v>0</v>
      </c>
      <c r="S72" s="605">
        <f t="shared" si="13"/>
        <v>0</v>
      </c>
      <c r="T72" s="218">
        <f>SUM(T73:T77)</f>
        <v>0</v>
      </c>
      <c r="U72" s="42"/>
      <c r="V72" s="55"/>
      <c r="W72" s="43" t="e">
        <f>#REF!-#REF!</f>
        <v>#REF!</v>
      </c>
      <c r="X72" s="38" t="e">
        <f>SUM(#REF!)-#REF!</f>
        <v>#REF!</v>
      </c>
      <c r="Y72" s="38"/>
    </row>
    <row r="73" spans="1:25" ht="12.75" hidden="1" x14ac:dyDescent="0.2">
      <c r="A73" s="39"/>
      <c r="B73" s="39"/>
      <c r="C73" s="18"/>
      <c r="D73" s="39"/>
      <c r="E73" s="39" t="s">
        <v>548</v>
      </c>
      <c r="F73" s="600"/>
      <c r="G73" s="605">
        <v>0</v>
      </c>
      <c r="H73" s="605">
        <v>0</v>
      </c>
      <c r="I73" s="605">
        <v>0</v>
      </c>
      <c r="J73" s="605">
        <v>0</v>
      </c>
      <c r="K73" s="605">
        <v>0</v>
      </c>
      <c r="L73" s="605">
        <v>0</v>
      </c>
      <c r="M73" s="605">
        <v>0</v>
      </c>
      <c r="N73" s="605">
        <v>0</v>
      </c>
      <c r="O73" s="605">
        <v>0</v>
      </c>
      <c r="P73" s="605">
        <v>0</v>
      </c>
      <c r="Q73" s="605">
        <v>0</v>
      </c>
      <c r="R73" s="605">
        <v>0</v>
      </c>
      <c r="S73" s="605">
        <v>0</v>
      </c>
      <c r="T73" s="218">
        <f>SUM(H73:S73)</f>
        <v>0</v>
      </c>
      <c r="U73" s="42"/>
      <c r="V73" s="55"/>
      <c r="W73" s="43" t="e">
        <f>#REF!-#REF!</f>
        <v>#REF!</v>
      </c>
      <c r="X73" s="38" t="e">
        <f>SUM(#REF!)-#REF!</f>
        <v>#REF!</v>
      </c>
      <c r="Y73" s="38"/>
    </row>
    <row r="74" spans="1:25" ht="12.75" hidden="1" x14ac:dyDescent="0.2">
      <c r="A74" s="39"/>
      <c r="B74" s="39"/>
      <c r="C74" s="18"/>
      <c r="D74" s="39"/>
      <c r="E74" s="39" t="s">
        <v>549</v>
      </c>
      <c r="F74" s="600"/>
      <c r="G74" s="605">
        <v>0</v>
      </c>
      <c r="H74" s="605">
        <v>0</v>
      </c>
      <c r="I74" s="605">
        <v>0</v>
      </c>
      <c r="J74" s="605">
        <v>0</v>
      </c>
      <c r="K74" s="605">
        <v>0</v>
      </c>
      <c r="L74" s="605">
        <v>0</v>
      </c>
      <c r="M74" s="605">
        <v>0</v>
      </c>
      <c r="N74" s="605">
        <v>0</v>
      </c>
      <c r="O74" s="605">
        <v>0</v>
      </c>
      <c r="P74" s="605">
        <v>0</v>
      </c>
      <c r="Q74" s="605">
        <v>0</v>
      </c>
      <c r="R74" s="605">
        <v>0</v>
      </c>
      <c r="S74" s="605">
        <v>0</v>
      </c>
      <c r="T74" s="218">
        <f>SUM(H74:S74)</f>
        <v>0</v>
      </c>
      <c r="U74" s="42"/>
      <c r="V74" s="55"/>
      <c r="W74" s="43" t="e">
        <f>#REF!-#REF!</f>
        <v>#REF!</v>
      </c>
      <c r="X74" s="38" t="e">
        <f>SUM(#REF!)-#REF!</f>
        <v>#REF!</v>
      </c>
      <c r="Y74" s="38"/>
    </row>
    <row r="75" spans="1:25" ht="12.75" hidden="1" x14ac:dyDescent="0.2">
      <c r="A75" s="39"/>
      <c r="B75" s="39"/>
      <c r="C75" s="18"/>
      <c r="D75" s="39"/>
      <c r="E75" s="39" t="s">
        <v>562</v>
      </c>
      <c r="F75" s="600"/>
      <c r="G75" s="605"/>
      <c r="H75" s="605"/>
      <c r="I75" s="605"/>
      <c r="J75" s="605"/>
      <c r="K75" s="605"/>
      <c r="L75" s="605"/>
      <c r="M75" s="605"/>
      <c r="N75" s="605"/>
      <c r="O75" s="605"/>
      <c r="P75" s="605"/>
      <c r="Q75" s="605"/>
      <c r="R75" s="605"/>
      <c r="S75" s="605"/>
      <c r="T75" s="218"/>
      <c r="U75" s="42"/>
      <c r="V75" s="55"/>
      <c r="W75" s="43" t="e">
        <f>#REF!-#REF!</f>
        <v>#REF!</v>
      </c>
      <c r="X75" s="38" t="e">
        <f>SUM(#REF!)-#REF!</f>
        <v>#REF!</v>
      </c>
      <c r="Y75" s="38"/>
    </row>
    <row r="76" spans="1:25" ht="12.75" hidden="1" x14ac:dyDescent="0.2">
      <c r="A76" s="39"/>
      <c r="B76" s="39"/>
      <c r="C76" s="18"/>
      <c r="D76" s="39"/>
      <c r="E76" s="63" t="s">
        <v>558</v>
      </c>
      <c r="F76" s="600"/>
      <c r="G76" s="605">
        <v>0</v>
      </c>
      <c r="H76" s="605">
        <v>0</v>
      </c>
      <c r="I76" s="605">
        <v>0</v>
      </c>
      <c r="J76" s="605">
        <v>0</v>
      </c>
      <c r="K76" s="605">
        <v>0</v>
      </c>
      <c r="L76" s="605">
        <v>0</v>
      </c>
      <c r="M76" s="605">
        <v>0</v>
      </c>
      <c r="N76" s="605">
        <v>0</v>
      </c>
      <c r="O76" s="605">
        <v>0</v>
      </c>
      <c r="P76" s="605">
        <v>0</v>
      </c>
      <c r="Q76" s="605">
        <v>0</v>
      </c>
      <c r="R76" s="605">
        <v>0</v>
      </c>
      <c r="S76" s="605">
        <v>0</v>
      </c>
      <c r="T76" s="218">
        <f>SUM(H76:S76)</f>
        <v>0</v>
      </c>
      <c r="U76" s="42"/>
      <c r="V76" s="55"/>
      <c r="W76" s="43" t="e">
        <f>#REF!-#REF!</f>
        <v>#REF!</v>
      </c>
      <c r="X76" s="38" t="e">
        <f>SUM(#REF!)-#REF!</f>
        <v>#REF!</v>
      </c>
      <c r="Y76" s="38"/>
    </row>
    <row r="77" spans="1:25" ht="12.75" hidden="1" x14ac:dyDescent="0.2">
      <c r="A77" s="39"/>
      <c r="B77" s="39"/>
      <c r="C77" s="18"/>
      <c r="D77" s="39"/>
      <c r="E77" s="63" t="s">
        <v>559</v>
      </c>
      <c r="F77" s="600"/>
      <c r="G77" s="605">
        <v>0</v>
      </c>
      <c r="H77" s="605">
        <v>0</v>
      </c>
      <c r="I77" s="605">
        <v>0</v>
      </c>
      <c r="J77" s="605">
        <v>0</v>
      </c>
      <c r="K77" s="605">
        <v>0</v>
      </c>
      <c r="L77" s="605">
        <v>0</v>
      </c>
      <c r="M77" s="605">
        <v>0</v>
      </c>
      <c r="N77" s="605">
        <v>0</v>
      </c>
      <c r="O77" s="605">
        <v>0</v>
      </c>
      <c r="P77" s="605">
        <v>0</v>
      </c>
      <c r="Q77" s="605">
        <v>0</v>
      </c>
      <c r="R77" s="605">
        <v>0</v>
      </c>
      <c r="S77" s="605">
        <v>0</v>
      </c>
      <c r="T77" s="218">
        <f>SUM(H77:S77)</f>
        <v>0</v>
      </c>
      <c r="U77" s="42"/>
      <c r="V77" s="55"/>
      <c r="W77" s="43" t="e">
        <f>#REF!-#REF!</f>
        <v>#REF!</v>
      </c>
      <c r="X77" s="38" t="e">
        <f>SUM(#REF!)-#REF!</f>
        <v>#REF!</v>
      </c>
      <c r="Y77" s="38"/>
    </row>
    <row r="78" spans="1:25" ht="12.75" hidden="1" x14ac:dyDescent="0.2">
      <c r="A78" s="39"/>
      <c r="B78" s="39"/>
      <c r="C78" s="18"/>
      <c r="D78" s="39"/>
      <c r="E78" s="39"/>
      <c r="F78" s="600"/>
      <c r="G78" s="605"/>
      <c r="H78" s="218"/>
      <c r="I78" s="218"/>
      <c r="J78" s="218"/>
      <c r="K78" s="218"/>
      <c r="L78" s="218"/>
      <c r="M78" s="218"/>
      <c r="N78" s="218"/>
      <c r="O78" s="218"/>
      <c r="P78" s="218"/>
      <c r="Q78" s="218"/>
      <c r="R78" s="218"/>
      <c r="S78" s="218"/>
      <c r="T78" s="218"/>
      <c r="U78" s="42"/>
      <c r="V78" s="55"/>
      <c r="W78" s="43" t="e">
        <f>#REF!-#REF!</f>
        <v>#REF!</v>
      </c>
      <c r="X78" s="38" t="e">
        <f>SUM(#REF!)-#REF!</f>
        <v>#REF!</v>
      </c>
      <c r="Y78" s="38"/>
    </row>
    <row r="79" spans="1:25" ht="12.75" hidden="1" x14ac:dyDescent="0.2">
      <c r="A79" s="39"/>
      <c r="B79" s="39"/>
      <c r="C79" s="18"/>
      <c r="D79" s="39"/>
      <c r="E79" s="39"/>
      <c r="F79" s="55"/>
      <c r="G79" s="605"/>
      <c r="H79" s="218"/>
      <c r="I79" s="218"/>
      <c r="J79" s="218"/>
      <c r="K79" s="218"/>
      <c r="L79" s="218"/>
      <c r="M79" s="218"/>
      <c r="N79" s="218"/>
      <c r="O79" s="218"/>
      <c r="P79" s="218"/>
      <c r="Q79" s="218"/>
      <c r="R79" s="218"/>
      <c r="S79" s="218"/>
      <c r="T79" s="218"/>
      <c r="U79" s="42"/>
      <c r="V79" s="55"/>
      <c r="W79" s="43" t="e">
        <f>#REF!-#REF!</f>
        <v>#REF!</v>
      </c>
      <c r="X79" s="38" t="e">
        <f>SUM(#REF!)-#REF!</f>
        <v>#REF!</v>
      </c>
      <c r="Y79" s="38"/>
    </row>
    <row r="80" spans="1:25" s="24" customFormat="1" x14ac:dyDescent="0.3">
      <c r="A80" s="7"/>
      <c r="B80" s="7"/>
      <c r="C80" s="16" t="s">
        <v>563</v>
      </c>
      <c r="D80" s="7"/>
      <c r="E80" s="7"/>
      <c r="F80" s="593" t="s">
        <v>564</v>
      </c>
      <c r="G80" s="126">
        <f t="shared" ref="G80:T80" si="14">SUM(G81:G84)</f>
        <v>-52440099.997653</v>
      </c>
      <c r="H80" s="123">
        <f t="shared" si="14"/>
        <v>15659489</v>
      </c>
      <c r="I80" s="123">
        <f t="shared" si="14"/>
        <v>-128367.74399999995</v>
      </c>
      <c r="J80" s="123">
        <f>SUM(J81:J84)</f>
        <v>-20445485</v>
      </c>
      <c r="K80" s="123">
        <f t="shared" si="14"/>
        <v>-78401907</v>
      </c>
      <c r="L80" s="123">
        <f t="shared" si="14"/>
        <v>68828004</v>
      </c>
      <c r="M80" s="123">
        <f t="shared" si="14"/>
        <v>-19226275</v>
      </c>
      <c r="N80" s="123">
        <f t="shared" si="14"/>
        <v>-23714757</v>
      </c>
      <c r="O80" s="123">
        <f t="shared" si="14"/>
        <v>-17589146</v>
      </c>
      <c r="P80" s="123">
        <f t="shared" si="14"/>
        <v>-23681013</v>
      </c>
      <c r="Q80" s="123">
        <f>SUM(Q81:Q84)</f>
        <v>59627181</v>
      </c>
      <c r="R80" s="123">
        <f t="shared" si="14"/>
        <v>-12514190</v>
      </c>
      <c r="S80" s="123">
        <f t="shared" si="14"/>
        <v>-21587737</v>
      </c>
      <c r="T80" s="123">
        <f t="shared" si="14"/>
        <v>-73174203.744000003</v>
      </c>
      <c r="U80" s="77"/>
      <c r="V80" s="586"/>
      <c r="W80" s="43" t="e">
        <f>#REF!-#REF!</f>
        <v>#REF!</v>
      </c>
      <c r="X80" s="38" t="e">
        <f>SUM(#REF!)-#REF!</f>
        <v>#REF!</v>
      </c>
      <c r="Y80" s="38"/>
    </row>
    <row r="81" spans="1:25" x14ac:dyDescent="0.3">
      <c r="A81" s="39"/>
      <c r="B81" s="39"/>
      <c r="C81" s="18"/>
      <c r="D81" s="39"/>
      <c r="E81" s="39" t="s">
        <v>565</v>
      </c>
      <c r="F81" s="55"/>
      <c r="G81" s="605">
        <f>[27]summary!$H$72+[27]summary!$H$73</f>
        <v>6516232.0023469981</v>
      </c>
      <c r="H81" s="218">
        <f>[28]summary!$M$73+[28]summary!$M$74</f>
        <v>0</v>
      </c>
      <c r="I81" s="218">
        <f>[29]cashbalances!$R$27+[29]cashbalances!$R$32</f>
        <v>871744.25600000005</v>
      </c>
      <c r="J81" s="218">
        <f>[30]summary!$W$72+[30]summary!$W$73</f>
        <v>0</v>
      </c>
      <c r="K81" s="218">
        <f>[31]summary!$AB$72+[31]summary!$AB$73</f>
        <v>104039</v>
      </c>
      <c r="L81" s="218">
        <f>[32]summary!$AG$72+[32]summary!$AG$73</f>
        <v>0</v>
      </c>
      <c r="M81" s="218">
        <f>[33]summary!$AL$73+[33]summary!$AL$72</f>
        <v>3836</v>
      </c>
      <c r="N81" s="218">
        <f>[69]summary!$AQ$72+[69]summary!$AQ$73</f>
        <v>1831061</v>
      </c>
      <c r="O81" s="218">
        <f>[70]summary!$AV$72+[70]summary!$AV$73</f>
        <v>2236273</v>
      </c>
      <c r="P81" s="218">
        <f>[36]summary!$BA$72+[36]summary!$BA$73</f>
        <v>1620990</v>
      </c>
      <c r="Q81" s="218">
        <f>[37]summary!$BF$72+[37]summary!$BF$73</f>
        <v>89678</v>
      </c>
      <c r="R81" s="218">
        <f>[27]summary!$BK$72+[27]summary!$BK$73</f>
        <v>1022787</v>
      </c>
      <c r="S81" s="218">
        <f>[38]summary!$BP$72+[38]summary!$BP$73</f>
        <v>6347054</v>
      </c>
      <c r="T81" s="218">
        <f>SUM(H81:S81)</f>
        <v>14127462.256000001</v>
      </c>
      <c r="U81" s="42"/>
      <c r="V81" s="55"/>
      <c r="W81" s="43" t="e">
        <f>#REF!-#REF!</f>
        <v>#REF!</v>
      </c>
      <c r="X81" s="38" t="e">
        <f>SUM(#REF!)-#REF!</f>
        <v>#REF!</v>
      </c>
      <c r="Y81" s="38"/>
    </row>
    <row r="82" spans="1:25" x14ac:dyDescent="0.3">
      <c r="A82" s="39"/>
      <c r="B82" s="39"/>
      <c r="C82" s="18"/>
      <c r="D82" s="39"/>
      <c r="E82" s="39" t="s">
        <v>566</v>
      </c>
      <c r="F82" s="606"/>
      <c r="G82" s="218">
        <f>[27]summary!$H$70</f>
        <v>0</v>
      </c>
      <c r="H82" s="607">
        <f>[28]summary!$M$71</f>
        <v>34143659</v>
      </c>
      <c r="I82" s="607">
        <f>[29]cashbalances!$R$23</f>
        <v>-4349966</v>
      </c>
      <c r="J82" s="607">
        <f>[30]summary!$W$70</f>
        <v>2527515</v>
      </c>
      <c r="K82" s="607">
        <f>[31]summary!$AB$70</f>
        <v>-24856159</v>
      </c>
      <c r="L82" s="607">
        <f>[32]summary!$AG$70</f>
        <v>26866570</v>
      </c>
      <c r="M82" s="607">
        <f>[33]summary!$AL$70</f>
        <v>-5977613</v>
      </c>
      <c r="N82" s="607">
        <f>[69]summary!$AQ$70</f>
        <v>15416167</v>
      </c>
      <c r="O82" s="607">
        <f>[70]summary!$AV$70</f>
        <v>-315227</v>
      </c>
      <c r="P82" s="607">
        <f>[36]summary!$BA$70</f>
        <v>-6539100</v>
      </c>
      <c r="Q82" s="607">
        <f>[37]summary!$BF$70</f>
        <v>59957836</v>
      </c>
      <c r="R82" s="607">
        <f>[27]summary!$BK$70</f>
        <v>-1550683</v>
      </c>
      <c r="S82" s="607">
        <f>[38]summary!$BP$70</f>
        <v>-80682653</v>
      </c>
      <c r="T82" s="218">
        <f>SUM(H82:S82)</f>
        <v>14640346</v>
      </c>
      <c r="U82" s="42"/>
      <c r="V82" s="55"/>
      <c r="W82" s="43" t="e">
        <f>#REF!-#REF!</f>
        <v>#REF!</v>
      </c>
      <c r="X82" s="38" t="e">
        <f>SUM(#REF!)-#REF!</f>
        <v>#REF!</v>
      </c>
      <c r="Y82" s="38"/>
    </row>
    <row r="83" spans="1:25" x14ac:dyDescent="0.3">
      <c r="A83" s="39"/>
      <c r="B83" s="39"/>
      <c r="C83" s="18"/>
      <c r="D83" s="39"/>
      <c r="E83" s="39" t="s">
        <v>357</v>
      </c>
      <c r="F83" s="55"/>
      <c r="G83" s="605">
        <f>[27]summary!$H$71</f>
        <v>0</v>
      </c>
      <c r="H83" s="218">
        <f>[28]summary!$M$72</f>
        <v>0</v>
      </c>
      <c r="I83" s="218">
        <f>[29]cashbalances!$R$25</f>
        <v>0</v>
      </c>
      <c r="J83" s="218">
        <f>[30]summary!$W$71</f>
        <v>0</v>
      </c>
      <c r="K83" s="218">
        <f>[31]summary!$AB$71</f>
        <v>0</v>
      </c>
      <c r="L83" s="218">
        <f>[32]summary!$AG$71</f>
        <v>0</v>
      </c>
      <c r="M83" s="218">
        <f>[33]summary!$AL$71</f>
        <v>0</v>
      </c>
      <c r="N83" s="218">
        <f>[69]summary!$AQ$71</f>
        <v>0</v>
      </c>
      <c r="O83" s="218">
        <f>[70]summary!$AV$71</f>
        <v>0</v>
      </c>
      <c r="P83" s="218">
        <f>[36]summary!$BA$71</f>
        <v>0</v>
      </c>
      <c r="Q83" s="218">
        <f>[37]summary!$BF$71</f>
        <v>0</v>
      </c>
      <c r="R83" s="218">
        <f>[27]summary!$BK$71</f>
        <v>0</v>
      </c>
      <c r="S83" s="218">
        <f>[38]summary!$BP$71</f>
        <v>0</v>
      </c>
      <c r="T83" s="218">
        <v>0</v>
      </c>
      <c r="U83" s="42"/>
      <c r="V83" s="55"/>
      <c r="W83" s="43" t="e">
        <f>#REF!-#REF!</f>
        <v>#REF!</v>
      </c>
      <c r="X83" s="38" t="e">
        <f>SUM(#REF!)-#REF!</f>
        <v>#REF!</v>
      </c>
      <c r="Y83" s="38"/>
    </row>
    <row r="84" spans="1:25" x14ac:dyDescent="0.3">
      <c r="A84" s="39"/>
      <c r="B84" s="39"/>
      <c r="C84" s="18"/>
      <c r="D84" s="39"/>
      <c r="E84" s="39" t="s">
        <v>567</v>
      </c>
      <c r="F84" s="55"/>
      <c r="G84" s="605">
        <f>+G88</f>
        <v>-58956332</v>
      </c>
      <c r="H84" s="218">
        <f>+H88</f>
        <v>-18484170</v>
      </c>
      <c r="I84" s="218">
        <f>+I88</f>
        <v>3349854</v>
      </c>
      <c r="J84" s="218">
        <f>+J88</f>
        <v>-22973000</v>
      </c>
      <c r="K84" s="218">
        <f>+K88</f>
        <v>-53649787</v>
      </c>
      <c r="L84" s="218">
        <f>L88</f>
        <v>41961434</v>
      </c>
      <c r="M84" s="218">
        <f t="shared" ref="M84:R84" si="15">M88</f>
        <v>-13252498</v>
      </c>
      <c r="N84" s="218">
        <f>N88</f>
        <v>-40961985</v>
      </c>
      <c r="O84" s="218">
        <f t="shared" si="15"/>
        <v>-19510192</v>
      </c>
      <c r="P84" s="218">
        <f>P88</f>
        <v>-18762903</v>
      </c>
      <c r="Q84" s="218">
        <f t="shared" si="15"/>
        <v>-420333</v>
      </c>
      <c r="R84" s="218">
        <f t="shared" si="15"/>
        <v>-11986294</v>
      </c>
      <c r="S84" s="218">
        <f>S88</f>
        <v>52747862</v>
      </c>
      <c r="T84" s="218">
        <f t="shared" ref="T84" si="16">+T88</f>
        <v>-101942012</v>
      </c>
      <c r="U84" s="42"/>
      <c r="V84" s="55"/>
      <c r="W84" s="43" t="e">
        <f>#REF!-#REF!</f>
        <v>#REF!</v>
      </c>
      <c r="X84" s="38" t="e">
        <f>SUM(#REF!)-#REF!</f>
        <v>#REF!</v>
      </c>
      <c r="Y84" s="38"/>
    </row>
    <row r="85" spans="1:25" x14ac:dyDescent="0.3">
      <c r="A85" s="39"/>
      <c r="B85" s="39"/>
      <c r="C85" s="94"/>
      <c r="D85" s="95"/>
      <c r="E85" s="95"/>
      <c r="F85" s="608"/>
      <c r="G85" s="609"/>
      <c r="H85" s="610"/>
      <c r="I85" s="610"/>
      <c r="J85" s="610"/>
      <c r="K85" s="610"/>
      <c r="L85" s="610"/>
      <c r="M85" s="610"/>
      <c r="N85" s="610"/>
      <c r="O85" s="610"/>
      <c r="P85" s="610"/>
      <c r="Q85" s="610"/>
      <c r="R85" s="610"/>
      <c r="S85" s="610"/>
      <c r="T85" s="610"/>
      <c r="U85" s="42"/>
      <c r="V85" s="55"/>
      <c r="W85" s="43"/>
      <c r="X85" s="38"/>
      <c r="Y85" s="38"/>
    </row>
    <row r="86" spans="1:25" x14ac:dyDescent="0.3">
      <c r="A86" s="39"/>
      <c r="B86" s="39"/>
      <c r="C86" s="39"/>
      <c r="D86" s="39"/>
      <c r="E86" s="39"/>
      <c r="F86" s="55"/>
      <c r="G86" s="611"/>
      <c r="H86" s="611"/>
      <c r="I86" s="611"/>
      <c r="J86" s="611"/>
      <c r="K86" s="611"/>
      <c r="L86" s="611"/>
      <c r="M86" s="611"/>
      <c r="N86" s="611"/>
      <c r="O86" s="611"/>
      <c r="P86" s="611"/>
      <c r="Q86" s="611"/>
      <c r="R86" s="611"/>
      <c r="S86" s="611"/>
      <c r="T86" s="611"/>
      <c r="U86" s="55"/>
      <c r="V86" s="55"/>
      <c r="W86" s="43"/>
      <c r="X86" s="38"/>
      <c r="Y86" s="38"/>
    </row>
    <row r="87" spans="1:25" x14ac:dyDescent="0.3">
      <c r="A87" s="39"/>
      <c r="B87" s="582"/>
      <c r="C87" s="612"/>
      <c r="D87" s="613"/>
      <c r="E87" s="614"/>
      <c r="F87" s="615"/>
      <c r="G87" s="616"/>
      <c r="H87" s="617"/>
      <c r="I87" s="617"/>
      <c r="J87" s="617"/>
      <c r="K87" s="617"/>
      <c r="L87" s="617"/>
      <c r="M87" s="617"/>
      <c r="N87" s="617"/>
      <c r="O87" s="617"/>
      <c r="P87" s="617"/>
      <c r="Q87" s="617"/>
      <c r="R87" s="617"/>
      <c r="S87" s="617"/>
      <c r="T87" s="616"/>
      <c r="U87" s="77"/>
      <c r="V87" s="55"/>
      <c r="W87" s="43"/>
      <c r="X87" s="38"/>
      <c r="Y87" s="38"/>
    </row>
    <row r="88" spans="1:25" s="24" customFormat="1" x14ac:dyDescent="0.3">
      <c r="A88" s="7"/>
      <c r="B88" s="597"/>
      <c r="C88" s="618" t="s">
        <v>568</v>
      </c>
      <c r="D88" s="619"/>
      <c r="E88" s="7"/>
      <c r="F88" s="593" t="s">
        <v>564</v>
      </c>
      <c r="G88" s="126">
        <f>+G90-G96</f>
        <v>-58956332</v>
      </c>
      <c r="H88" s="123">
        <f t="shared" ref="H88:S88" si="17">+H90-H96</f>
        <v>-18484170</v>
      </c>
      <c r="I88" s="123">
        <f t="shared" si="17"/>
        <v>3349854</v>
      </c>
      <c r="J88" s="123">
        <f>+J90-J96</f>
        <v>-22973000</v>
      </c>
      <c r="K88" s="123">
        <f>+K90-K96</f>
        <v>-53649787</v>
      </c>
      <c r="L88" s="123">
        <f>+L90-L96</f>
        <v>41961434</v>
      </c>
      <c r="M88" s="123">
        <f t="shared" si="17"/>
        <v>-13252498</v>
      </c>
      <c r="N88" s="123">
        <f>+N90-N96</f>
        <v>-40961985</v>
      </c>
      <c r="O88" s="123">
        <f t="shared" si="17"/>
        <v>-19510192</v>
      </c>
      <c r="P88" s="123">
        <f t="shared" si="17"/>
        <v>-18762903</v>
      </c>
      <c r="Q88" s="123">
        <f>+Q90-Q96</f>
        <v>-420333</v>
      </c>
      <c r="R88" s="123">
        <f t="shared" si="17"/>
        <v>-11986294</v>
      </c>
      <c r="S88" s="123">
        <f t="shared" si="17"/>
        <v>52747862</v>
      </c>
      <c r="T88" s="126">
        <f>+T90-T96</f>
        <v>-101942012</v>
      </c>
      <c r="U88" s="42"/>
      <c r="V88" s="586"/>
      <c r="W88" s="43" t="e">
        <f>#REF!-#REF!</f>
        <v>#REF!</v>
      </c>
      <c r="X88" s="38" t="e">
        <f>SUM(#REF!)-#REF!</f>
        <v>#REF!</v>
      </c>
      <c r="Y88" s="38"/>
    </row>
    <row r="89" spans="1:25" x14ac:dyDescent="0.3">
      <c r="A89" s="39"/>
      <c r="B89" s="582"/>
      <c r="C89" s="620"/>
      <c r="D89" s="621"/>
      <c r="E89" s="39"/>
      <c r="F89" s="55"/>
      <c r="G89" s="605"/>
      <c r="H89" s="218"/>
      <c r="I89" s="218"/>
      <c r="J89" s="218"/>
      <c r="K89" s="218"/>
      <c r="L89" s="218"/>
      <c r="M89" s="218"/>
      <c r="N89" s="218"/>
      <c r="O89" s="218"/>
      <c r="P89" s="218"/>
      <c r="Q89" s="218"/>
      <c r="R89" s="218"/>
      <c r="S89" s="218"/>
      <c r="T89" s="605"/>
      <c r="U89" s="42"/>
      <c r="V89" s="55"/>
      <c r="W89" s="43"/>
      <c r="X89" s="38"/>
      <c r="Y89" s="38"/>
    </row>
    <row r="90" spans="1:25" x14ac:dyDescent="0.3">
      <c r="A90" s="39"/>
      <c r="B90" s="582"/>
      <c r="C90" s="18" t="s">
        <v>569</v>
      </c>
      <c r="D90" s="39"/>
      <c r="E90" s="39"/>
      <c r="F90" s="593" t="s">
        <v>570</v>
      </c>
      <c r="G90" s="622">
        <f>SUM(G91:G92)</f>
        <v>235661668</v>
      </c>
      <c r="H90" s="421">
        <f t="shared" ref="H90:T90" si="18">SUM(H91:H93)</f>
        <v>235661668</v>
      </c>
      <c r="I90" s="421">
        <f t="shared" si="18"/>
        <v>254145838</v>
      </c>
      <c r="J90" s="421">
        <f t="shared" si="18"/>
        <v>250795984</v>
      </c>
      <c r="K90" s="421">
        <f t="shared" si="18"/>
        <v>273768984</v>
      </c>
      <c r="L90" s="421">
        <f t="shared" si="18"/>
        <v>327418771</v>
      </c>
      <c r="M90" s="421">
        <f t="shared" si="18"/>
        <v>285457337</v>
      </c>
      <c r="N90" s="421">
        <f t="shared" si="18"/>
        <v>298709835</v>
      </c>
      <c r="O90" s="421">
        <f t="shared" si="18"/>
        <v>339671820</v>
      </c>
      <c r="P90" s="421">
        <f t="shared" si="18"/>
        <v>359182012</v>
      </c>
      <c r="Q90" s="421">
        <f t="shared" si="18"/>
        <v>377944915</v>
      </c>
      <c r="R90" s="421">
        <f t="shared" si="18"/>
        <v>378365248</v>
      </c>
      <c r="S90" s="421">
        <f t="shared" si="18"/>
        <v>390351542</v>
      </c>
      <c r="T90" s="404">
        <f t="shared" si="18"/>
        <v>235661668</v>
      </c>
      <c r="U90" s="42"/>
      <c r="V90" s="55"/>
      <c r="W90" s="43" t="e">
        <f>#REF!-#REF!</f>
        <v>#REF!</v>
      </c>
      <c r="X90" s="38"/>
      <c r="Y90" s="38"/>
    </row>
    <row r="91" spans="1:25" x14ac:dyDescent="0.3">
      <c r="A91" s="39"/>
      <c r="B91" s="582"/>
      <c r="C91" s="623"/>
      <c r="D91" s="624"/>
      <c r="E91" s="39" t="s">
        <v>571</v>
      </c>
      <c r="F91" s="55"/>
      <c r="G91" s="605">
        <f>[31]cashbalances!$H$14</f>
        <v>191125443</v>
      </c>
      <c r="H91" s="156">
        <v>191125443</v>
      </c>
      <c r="I91" s="156">
        <f>H97</f>
        <v>188398825</v>
      </c>
      <c r="J91" s="156">
        <f>I97</f>
        <v>183966537</v>
      </c>
      <c r="K91" s="156">
        <f t="shared" ref="I91:M92" si="19">J97</f>
        <v>174786407</v>
      </c>
      <c r="L91" s="156">
        <f t="shared" si="19"/>
        <v>216993276</v>
      </c>
      <c r="M91" s="156">
        <f t="shared" si="19"/>
        <v>178904480</v>
      </c>
      <c r="N91" s="156">
        <f>M97</f>
        <v>162851119</v>
      </c>
      <c r="O91" s="156">
        <f>N97</f>
        <v>150789653</v>
      </c>
      <c r="P91" s="156">
        <f>O97</f>
        <v>150112405</v>
      </c>
      <c r="Q91" s="156">
        <f t="shared" ref="O91:Q92" si="20">P97</f>
        <v>143765580</v>
      </c>
      <c r="R91" s="156">
        <f>Q97</f>
        <v>142480438</v>
      </c>
      <c r="S91" s="156">
        <f>R97</f>
        <v>141649872</v>
      </c>
      <c r="T91" s="605">
        <f>H91</f>
        <v>191125443</v>
      </c>
      <c r="U91" s="42"/>
      <c r="V91" s="55"/>
      <c r="W91" s="43" t="e">
        <f>#REF!-#REF!</f>
        <v>#REF!</v>
      </c>
      <c r="X91" s="38"/>
      <c r="Y91" s="38"/>
    </row>
    <row r="92" spans="1:25" x14ac:dyDescent="0.3">
      <c r="A92" s="39"/>
      <c r="B92" s="582"/>
      <c r="C92" s="623"/>
      <c r="D92" s="624"/>
      <c r="E92" s="39" t="s">
        <v>572</v>
      </c>
      <c r="F92" s="55"/>
      <c r="G92" s="605">
        <f>[31]cashbalances!$H$15</f>
        <v>44536225</v>
      </c>
      <c r="H92" s="156">
        <v>44536225</v>
      </c>
      <c r="I92" s="156">
        <f t="shared" si="19"/>
        <v>65747013</v>
      </c>
      <c r="J92" s="156">
        <f>I98</f>
        <v>66829447</v>
      </c>
      <c r="K92" s="156">
        <f t="shared" si="19"/>
        <v>98982577</v>
      </c>
      <c r="L92" s="156">
        <f t="shared" si="19"/>
        <v>110425495</v>
      </c>
      <c r="M92" s="156">
        <f t="shared" si="19"/>
        <v>106552857</v>
      </c>
      <c r="N92" s="156">
        <f>M98</f>
        <v>135858716</v>
      </c>
      <c r="O92" s="156">
        <f t="shared" si="20"/>
        <v>188882167</v>
      </c>
      <c r="P92" s="156">
        <f t="shared" si="20"/>
        <v>209069607</v>
      </c>
      <c r="Q92" s="156">
        <f t="shared" si="20"/>
        <v>234179335</v>
      </c>
      <c r="R92" s="156">
        <f>Q98</f>
        <v>235884810</v>
      </c>
      <c r="S92" s="156">
        <f>R98</f>
        <v>248701670</v>
      </c>
      <c r="T92" s="605">
        <f>H92</f>
        <v>44536225</v>
      </c>
      <c r="U92" s="42"/>
      <c r="V92" s="55"/>
      <c r="W92" s="43" t="e">
        <f>#REF!-#REF!</f>
        <v>#REF!</v>
      </c>
      <c r="X92" s="38"/>
      <c r="Y92" s="38"/>
    </row>
    <row r="93" spans="1:25" ht="12.75" hidden="1" x14ac:dyDescent="0.2">
      <c r="A93" s="39"/>
      <c r="B93" s="582"/>
      <c r="C93" s="18"/>
      <c r="D93" s="39"/>
      <c r="E93" s="39" t="s">
        <v>573</v>
      </c>
      <c r="F93" s="55"/>
      <c r="G93" s="605">
        <v>0</v>
      </c>
      <c r="H93" s="218">
        <v>0</v>
      </c>
      <c r="I93" s="218">
        <v>0</v>
      </c>
      <c r="J93" s="218">
        <v>0</v>
      </c>
      <c r="K93" s="218">
        <v>0</v>
      </c>
      <c r="L93" s="218">
        <v>0</v>
      </c>
      <c r="M93" s="218">
        <v>0</v>
      </c>
      <c r="N93" s="218">
        <v>0</v>
      </c>
      <c r="O93" s="218">
        <v>0</v>
      </c>
      <c r="P93" s="218">
        <v>0</v>
      </c>
      <c r="Q93" s="218">
        <v>0</v>
      </c>
      <c r="R93" s="218">
        <v>0</v>
      </c>
      <c r="S93" s="218">
        <v>0</v>
      </c>
      <c r="T93" s="605">
        <f>H93</f>
        <v>0</v>
      </c>
      <c r="U93" s="77"/>
      <c r="V93" s="55"/>
      <c r="W93" s="43" t="e">
        <f>#REF!-#REF!</f>
        <v>#REF!</v>
      </c>
      <c r="X93" s="38"/>
      <c r="Y93" s="38"/>
    </row>
    <row r="94" spans="1:25" x14ac:dyDescent="0.3">
      <c r="A94" s="39"/>
      <c r="B94" s="582"/>
      <c r="C94" s="18"/>
      <c r="D94" s="39"/>
      <c r="E94" s="39"/>
      <c r="F94" s="55"/>
      <c r="G94" s="605"/>
      <c r="H94" s="218"/>
      <c r="I94" s="218"/>
      <c r="J94" s="218"/>
      <c r="K94" s="218"/>
      <c r="L94" s="218"/>
      <c r="M94" s="218"/>
      <c r="N94" s="218"/>
      <c r="O94" s="218"/>
      <c r="P94" s="218"/>
      <c r="Q94" s="218"/>
      <c r="R94" s="218"/>
      <c r="S94" s="218"/>
      <c r="T94" s="605"/>
      <c r="U94" s="42"/>
      <c r="V94" s="55"/>
      <c r="W94" s="43"/>
      <c r="X94" s="38"/>
      <c r="Y94" s="38"/>
    </row>
    <row r="95" spans="1:25" ht="12.75" hidden="1" x14ac:dyDescent="0.2">
      <c r="A95" s="39"/>
      <c r="B95" s="582"/>
      <c r="C95" s="18"/>
      <c r="D95" s="39"/>
      <c r="E95" s="39"/>
      <c r="F95" s="55"/>
      <c r="G95" s="605"/>
      <c r="H95" s="218"/>
      <c r="I95" s="218"/>
      <c r="J95" s="218"/>
      <c r="K95" s="218"/>
      <c r="L95" s="218"/>
      <c r="M95" s="218"/>
      <c r="N95" s="218"/>
      <c r="O95" s="218"/>
      <c r="P95" s="218"/>
      <c r="Q95" s="218"/>
      <c r="R95" s="218"/>
      <c r="S95" s="218"/>
      <c r="T95" s="605"/>
      <c r="U95" s="42"/>
      <c r="V95" s="55"/>
      <c r="W95" s="43" t="e">
        <f>#REF!-#REF!</f>
        <v>#REF!</v>
      </c>
      <c r="X95" s="38"/>
      <c r="Y95" s="38"/>
    </row>
    <row r="96" spans="1:25" x14ac:dyDescent="0.3">
      <c r="A96" s="39"/>
      <c r="B96" s="582"/>
      <c r="C96" s="18" t="s">
        <v>574</v>
      </c>
      <c r="D96" s="39"/>
      <c r="E96" s="39"/>
      <c r="F96" s="55"/>
      <c r="G96" s="156">
        <f>SUM(G97:G99)</f>
        <v>294618000</v>
      </c>
      <c r="H96" s="218">
        <f>SUM(H97:H99)</f>
        <v>254145838</v>
      </c>
      <c r="I96" s="218">
        <f>SUM(I97:I99)</f>
        <v>250795984</v>
      </c>
      <c r="J96" s="218">
        <f>SUM(J97:J99)</f>
        <v>273768984</v>
      </c>
      <c r="K96" s="218">
        <f t="shared" ref="K96:T96" si="21">SUM(K97:K99)</f>
        <v>327418771</v>
      </c>
      <c r="L96" s="218">
        <f t="shared" si="21"/>
        <v>285457337</v>
      </c>
      <c r="M96" s="218">
        <f t="shared" si="21"/>
        <v>298709835</v>
      </c>
      <c r="N96" s="218">
        <f t="shared" si="21"/>
        <v>339671820</v>
      </c>
      <c r="O96" s="218">
        <f t="shared" si="21"/>
        <v>359182012</v>
      </c>
      <c r="P96" s="218">
        <f t="shared" si="21"/>
        <v>377944915</v>
      </c>
      <c r="Q96" s="218">
        <f>SUM(Q97:Q99)</f>
        <v>378365248</v>
      </c>
      <c r="R96" s="218">
        <f t="shared" si="21"/>
        <v>390351542</v>
      </c>
      <c r="S96" s="218">
        <f t="shared" si="21"/>
        <v>337603680</v>
      </c>
      <c r="T96" s="605">
        <f t="shared" si="21"/>
        <v>337603680</v>
      </c>
      <c r="U96" s="42"/>
      <c r="V96" s="55"/>
      <c r="W96" s="43" t="e">
        <f>#REF!-#REF!</f>
        <v>#REF!</v>
      </c>
      <c r="X96" s="38"/>
      <c r="Y96" s="38"/>
    </row>
    <row r="97" spans="1:25" x14ac:dyDescent="0.3">
      <c r="A97" s="39"/>
      <c r="B97" s="582"/>
      <c r="C97" s="18"/>
      <c r="D97" s="39"/>
      <c r="E97" s="39" t="s">
        <v>571</v>
      </c>
      <c r="F97" s="55"/>
      <c r="G97" s="605">
        <f>[27]cashbalances!$H$18</f>
        <v>160266000</v>
      </c>
      <c r="H97" s="156">
        <f>[28]cashbalances!$M$18</f>
        <v>188398825</v>
      </c>
      <c r="I97" s="156">
        <f>[29]cashbalances!$R$18</f>
        <v>183966537</v>
      </c>
      <c r="J97" s="156">
        <f>[30]cashbalances!$W$18</f>
        <v>174786407</v>
      </c>
      <c r="K97" s="156">
        <f>[31]cashbalances!$AB$18</f>
        <v>216993276</v>
      </c>
      <c r="L97" s="156">
        <f>[32]cashbalances!$AG$18</f>
        <v>178904480</v>
      </c>
      <c r="M97" s="156">
        <f>[33]cashbalances!$AL$18</f>
        <v>162851119</v>
      </c>
      <c r="N97" s="156">
        <f>[69]cashbalances!$AQ$18</f>
        <v>150789653</v>
      </c>
      <c r="O97" s="156">
        <f>[70]cashbalances!$AV$18</f>
        <v>150112405</v>
      </c>
      <c r="P97" s="156">
        <f>[36]cashbalances!$BA$18</f>
        <v>143765580</v>
      </c>
      <c r="Q97" s="156">
        <f>[37]cashbalances!$BF$18</f>
        <v>142480438</v>
      </c>
      <c r="R97" s="156">
        <f>[27]cashbalances!$BK$18</f>
        <v>141649872</v>
      </c>
      <c r="S97" s="156">
        <f>[38]cashbalances!$BP$18</f>
        <v>139049630</v>
      </c>
      <c r="T97" s="605">
        <f>S97</f>
        <v>139049630</v>
      </c>
      <c r="U97" s="42"/>
      <c r="V97" s="55"/>
      <c r="W97" s="43" t="e">
        <f>#REF!-#REF!</f>
        <v>#REF!</v>
      </c>
      <c r="X97" s="38"/>
      <c r="Y97" s="38"/>
    </row>
    <row r="98" spans="1:25" x14ac:dyDescent="0.3">
      <c r="A98" s="39"/>
      <c r="B98" s="582"/>
      <c r="C98" s="18"/>
      <c r="D98" s="39"/>
      <c r="E98" s="39" t="s">
        <v>575</v>
      </c>
      <c r="F98" s="593"/>
      <c r="G98" s="605">
        <f>[27]cashbalances!$H$19</f>
        <v>134352000</v>
      </c>
      <c r="H98" s="156">
        <f>[28]cashbalances!$M$19</f>
        <v>65747013</v>
      </c>
      <c r="I98" s="156">
        <f>[29]cashbalances!$R$19</f>
        <v>66829447</v>
      </c>
      <c r="J98" s="156">
        <f>[30]cashbalances!$W$19</f>
        <v>98982577</v>
      </c>
      <c r="K98" s="156">
        <f>[31]cashbalances!$AB$19</f>
        <v>110425495</v>
      </c>
      <c r="L98" s="156">
        <f>[32]cashbalances!$AG$19</f>
        <v>106552857</v>
      </c>
      <c r="M98" s="156">
        <f>[33]cashbalances!$AL$19</f>
        <v>135858716</v>
      </c>
      <c r="N98" s="156">
        <f>[69]cashbalances!$AQ$19</f>
        <v>188882167</v>
      </c>
      <c r="O98" s="156">
        <f>[70]cashbalances!$AV$19</f>
        <v>209069607</v>
      </c>
      <c r="P98" s="156">
        <f>[36]cashbalances!$BA$19</f>
        <v>234179335</v>
      </c>
      <c r="Q98" s="156">
        <f>[37]cashbalances!$BF$19</f>
        <v>235884810</v>
      </c>
      <c r="R98" s="156">
        <f>[27]cashbalances!$BK$19</f>
        <v>248701670</v>
      </c>
      <c r="S98" s="156">
        <f>[38]cashbalances!$BP$19</f>
        <v>198554050</v>
      </c>
      <c r="T98" s="605">
        <f>S98</f>
        <v>198554050</v>
      </c>
      <c r="U98" s="42"/>
      <c r="V98" s="55"/>
      <c r="W98" s="43" t="e">
        <f>#REF!-#REF!</f>
        <v>#REF!</v>
      </c>
      <c r="X98" s="38"/>
      <c r="Y98" s="38"/>
    </row>
    <row r="99" spans="1:25" ht="12.75" hidden="1" x14ac:dyDescent="0.2">
      <c r="A99" s="39"/>
      <c r="B99" s="39"/>
      <c r="C99" s="18"/>
      <c r="D99" s="39"/>
      <c r="E99" s="39" t="s">
        <v>573</v>
      </c>
      <c r="F99" s="55"/>
      <c r="G99" s="605">
        <v>0</v>
      </c>
      <c r="H99" s="605">
        <v>0</v>
      </c>
      <c r="I99" s="605">
        <v>0</v>
      </c>
      <c r="J99" s="605">
        <v>0</v>
      </c>
      <c r="K99" s="605">
        <v>0</v>
      </c>
      <c r="L99" s="605">
        <v>0</v>
      </c>
      <c r="M99" s="605">
        <v>0</v>
      </c>
      <c r="N99" s="605">
        <v>0</v>
      </c>
      <c r="O99" s="605">
        <v>0</v>
      </c>
      <c r="P99" s="605">
        <v>0</v>
      </c>
      <c r="Q99" s="605">
        <v>0</v>
      </c>
      <c r="R99" s="605">
        <v>0</v>
      </c>
      <c r="S99" s="605">
        <v>0</v>
      </c>
      <c r="T99" s="218">
        <f>J99</f>
        <v>0</v>
      </c>
      <c r="U99" s="77"/>
      <c r="V99" s="55"/>
      <c r="W99" s="43" t="e">
        <f>#REF!-#REF!</f>
        <v>#REF!</v>
      </c>
      <c r="X99" s="38" t="e">
        <f>SUM(#REF!)-#REF!</f>
        <v>#REF!</v>
      </c>
      <c r="Y99" s="38"/>
    </row>
    <row r="100" spans="1:25" x14ac:dyDescent="0.3">
      <c r="A100" s="39"/>
      <c r="B100" s="39"/>
      <c r="C100" s="94"/>
      <c r="D100" s="95"/>
      <c r="E100" s="95"/>
      <c r="F100" s="608"/>
      <c r="G100" s="609"/>
      <c r="H100" s="609"/>
      <c r="I100" s="609"/>
      <c r="J100" s="609"/>
      <c r="K100" s="609"/>
      <c r="L100" s="609"/>
      <c r="M100" s="609"/>
      <c r="N100" s="609"/>
      <c r="O100" s="610"/>
      <c r="P100" s="609"/>
      <c r="Q100" s="610"/>
      <c r="R100" s="610"/>
      <c r="S100" s="609"/>
      <c r="T100" s="610"/>
      <c r="U100" s="42"/>
      <c r="V100" s="55"/>
      <c r="W100" s="43"/>
      <c r="X100" s="38"/>
      <c r="Y100" s="38"/>
    </row>
    <row r="101" spans="1:25" x14ac:dyDescent="0.3">
      <c r="A101" s="39"/>
      <c r="B101" s="39"/>
      <c r="C101" s="625" t="s">
        <v>576</v>
      </c>
      <c r="D101" s="625"/>
      <c r="E101" s="626"/>
      <c r="F101" s="55"/>
      <c r="G101" s="574"/>
      <c r="H101" s="574"/>
      <c r="I101" s="574"/>
      <c r="J101" s="574"/>
      <c r="K101" s="574"/>
      <c r="L101" s="574"/>
      <c r="M101" s="574"/>
      <c r="N101" s="574"/>
      <c r="O101" s="574"/>
      <c r="P101" s="574"/>
      <c r="Q101" s="574"/>
      <c r="R101" s="574"/>
      <c r="S101" s="574"/>
      <c r="T101" s="574"/>
      <c r="U101" s="55"/>
      <c r="V101" s="55"/>
      <c r="W101" s="43"/>
      <c r="X101" s="38"/>
      <c r="Y101" s="38"/>
    </row>
    <row r="102" spans="1:25" x14ac:dyDescent="0.3">
      <c r="A102" s="39"/>
      <c r="B102" s="39"/>
      <c r="C102" s="625" t="s">
        <v>577</v>
      </c>
      <c r="D102" s="625"/>
      <c r="E102" s="56"/>
      <c r="F102" s="55"/>
      <c r="G102" s="574"/>
      <c r="H102" s="574"/>
      <c r="I102" s="574"/>
      <c r="J102" s="574"/>
      <c r="K102" s="574"/>
      <c r="L102" s="574"/>
      <c r="M102" s="574"/>
      <c r="N102" s="574"/>
      <c r="O102" s="574"/>
      <c r="P102" s="574"/>
      <c r="Q102" s="574"/>
      <c r="R102" s="574"/>
      <c r="S102" s="574"/>
      <c r="T102" s="574"/>
      <c r="U102" s="55"/>
      <c r="V102" s="55"/>
      <c r="W102" s="43"/>
      <c r="X102" s="38"/>
      <c r="Y102" s="38"/>
    </row>
    <row r="103" spans="1:25" x14ac:dyDescent="0.3">
      <c r="A103" s="39"/>
      <c r="B103" s="39"/>
      <c r="C103" s="625" t="s">
        <v>578</v>
      </c>
      <c r="D103" s="625"/>
      <c r="E103" s="56"/>
      <c r="F103" s="55"/>
      <c r="G103" s="574"/>
      <c r="H103" s="574"/>
      <c r="I103" s="574"/>
      <c r="J103" s="574"/>
      <c r="K103" s="574"/>
      <c r="L103" s="574"/>
      <c r="M103" s="574"/>
      <c r="N103" s="574"/>
      <c r="O103" s="574"/>
      <c r="P103" s="574"/>
      <c r="Q103" s="574"/>
      <c r="R103" s="574"/>
      <c r="S103" s="574"/>
      <c r="T103" s="574"/>
      <c r="U103" s="55"/>
      <c r="V103" s="55"/>
      <c r="W103" s="43"/>
      <c r="X103" s="38"/>
      <c r="Y103" s="38"/>
    </row>
    <row r="104" spans="1:25" x14ac:dyDescent="0.3">
      <c r="A104" s="39"/>
      <c r="B104" s="39"/>
      <c r="C104" s="627" t="s">
        <v>579</v>
      </c>
      <c r="D104" s="628"/>
      <c r="E104" s="628"/>
      <c r="F104" s="629"/>
      <c r="G104" s="628"/>
      <c r="H104" s="628"/>
      <c r="I104" s="628"/>
      <c r="J104" s="628"/>
      <c r="K104" s="628"/>
      <c r="L104" s="628"/>
      <c r="M104" s="628"/>
      <c r="N104" s="628"/>
      <c r="O104" s="628"/>
      <c r="P104" s="628"/>
      <c r="Q104" s="628"/>
      <c r="R104" s="628"/>
      <c r="S104" s="628"/>
      <c r="T104" s="628"/>
      <c r="U104" s="55"/>
      <c r="V104" s="55"/>
      <c r="W104" s="43"/>
      <c r="X104" s="38"/>
      <c r="Y104" s="38"/>
    </row>
    <row r="105" spans="1:25" x14ac:dyDescent="0.3">
      <c r="A105" s="39"/>
      <c r="B105" s="39"/>
      <c r="C105" s="630"/>
      <c r="G105" s="574"/>
      <c r="H105" s="574"/>
      <c r="I105" s="574"/>
      <c r="J105" s="574"/>
      <c r="K105" s="574"/>
      <c r="L105" s="574"/>
      <c r="M105" s="574"/>
      <c r="N105" s="574"/>
      <c r="O105" s="574"/>
      <c r="P105" s="574"/>
      <c r="Q105" s="574"/>
      <c r="R105" s="574"/>
      <c r="S105" s="574"/>
      <c r="T105" s="574"/>
      <c r="U105" s="55"/>
      <c r="V105" s="55"/>
      <c r="W105" s="50"/>
      <c r="Y105" s="38"/>
    </row>
    <row r="106" spans="1:25" s="39" customFormat="1" x14ac:dyDescent="0.3">
      <c r="F106" s="55"/>
      <c r="G106" s="574"/>
      <c r="H106" s="574"/>
      <c r="I106" s="574"/>
      <c r="J106" s="574"/>
      <c r="K106" s="574"/>
      <c r="L106" s="574"/>
      <c r="M106" s="574"/>
      <c r="N106" s="574"/>
      <c r="O106" s="574"/>
      <c r="P106" s="574"/>
      <c r="Q106" s="574"/>
      <c r="R106" s="574"/>
      <c r="S106" s="574"/>
      <c r="T106" s="574"/>
      <c r="U106" s="55"/>
      <c r="V106" s="55"/>
      <c r="W106" s="55"/>
      <c r="Y106" s="388"/>
    </row>
    <row r="107" spans="1:25" s="39" customFormat="1" x14ac:dyDescent="0.3">
      <c r="F107" s="55"/>
      <c r="G107" s="574"/>
      <c r="H107" s="574"/>
      <c r="I107" s="574"/>
      <c r="J107" s="574"/>
      <c r="K107" s="574"/>
      <c r="L107" s="574"/>
      <c r="M107" s="574"/>
      <c r="N107" s="574"/>
      <c r="O107" s="574"/>
      <c r="P107" s="574"/>
      <c r="Q107" s="574"/>
      <c r="R107" s="574"/>
      <c r="S107" s="574"/>
      <c r="T107" s="574"/>
      <c r="U107" s="55"/>
      <c r="V107" s="55"/>
      <c r="W107" s="55"/>
      <c r="Y107" s="388"/>
    </row>
    <row r="108" spans="1:25" s="39" customFormat="1" x14ac:dyDescent="0.3">
      <c r="F108" s="55"/>
      <c r="G108" s="574"/>
      <c r="H108" s="574"/>
      <c r="I108" s="574"/>
      <c r="J108" s="574"/>
      <c r="K108" s="574"/>
      <c r="L108" s="574"/>
      <c r="M108" s="574"/>
      <c r="N108" s="574"/>
      <c r="O108" s="574"/>
      <c r="P108" s="574"/>
      <c r="Q108" s="574"/>
      <c r="R108" s="574"/>
      <c r="S108" s="574"/>
      <c r="T108" s="574"/>
      <c r="U108" s="55"/>
      <c r="V108" s="55"/>
      <c r="W108" s="55"/>
      <c r="Y108" s="388"/>
    </row>
    <row r="109" spans="1:25" s="39" customFormat="1" x14ac:dyDescent="0.3">
      <c r="F109" s="55"/>
      <c r="G109" s="574"/>
      <c r="H109" s="574"/>
      <c r="I109" s="574"/>
      <c r="J109" s="574"/>
      <c r="K109" s="574"/>
      <c r="L109" s="574"/>
      <c r="M109" s="574"/>
      <c r="N109" s="574"/>
      <c r="O109" s="574"/>
      <c r="P109" s="574"/>
      <c r="Q109" s="574"/>
      <c r="R109" s="574"/>
      <c r="S109" s="574"/>
      <c r="T109" s="574"/>
      <c r="U109" s="55"/>
      <c r="V109" s="55"/>
      <c r="W109" s="55"/>
      <c r="Y109" s="388"/>
    </row>
    <row r="110" spans="1:25" s="39" customFormat="1" x14ac:dyDescent="0.3">
      <c r="F110" s="55"/>
      <c r="G110" s="574"/>
      <c r="H110" s="574"/>
      <c r="I110" s="574"/>
      <c r="J110" s="574"/>
      <c r="K110" s="574"/>
      <c r="L110" s="574"/>
      <c r="M110" s="574"/>
      <c r="N110" s="574"/>
      <c r="O110" s="574"/>
      <c r="P110" s="574"/>
      <c r="Q110" s="574"/>
      <c r="R110" s="574"/>
      <c r="S110" s="574"/>
      <c r="T110" s="574"/>
      <c r="U110" s="55"/>
      <c r="V110" s="55"/>
      <c r="W110" s="55"/>
      <c r="Y110" s="388"/>
    </row>
    <row r="111" spans="1:25" s="39" customFormat="1" x14ac:dyDescent="0.3">
      <c r="F111" s="55"/>
      <c r="G111" s="574"/>
      <c r="H111" s="574"/>
      <c r="I111" s="574"/>
      <c r="J111" s="574"/>
      <c r="K111" s="574"/>
      <c r="L111" s="574"/>
      <c r="M111" s="574"/>
      <c r="N111" s="574"/>
      <c r="O111" s="574"/>
      <c r="P111" s="574"/>
      <c r="Q111" s="574"/>
      <c r="R111" s="574"/>
      <c r="S111" s="574"/>
      <c r="T111" s="574"/>
      <c r="U111" s="55"/>
      <c r="V111" s="55"/>
      <c r="W111" s="55"/>
      <c r="Y111" s="388"/>
    </row>
    <row r="112" spans="1:25" s="39" customFormat="1" x14ac:dyDescent="0.3">
      <c r="F112" s="55"/>
      <c r="G112" s="574"/>
      <c r="H112" s="574"/>
      <c r="I112" s="574"/>
      <c r="J112" s="574"/>
      <c r="K112" s="574"/>
      <c r="L112" s="574"/>
      <c r="M112" s="574"/>
      <c r="N112" s="574"/>
      <c r="O112" s="574"/>
      <c r="P112" s="574"/>
      <c r="Q112" s="574"/>
      <c r="R112" s="574"/>
      <c r="S112" s="574"/>
      <c r="T112" s="574"/>
      <c r="U112" s="55"/>
      <c r="V112" s="55"/>
      <c r="W112" s="55"/>
      <c r="Y112" s="388"/>
    </row>
    <row r="113" spans="2:25" s="39" customFormat="1" x14ac:dyDescent="0.3">
      <c r="F113" s="55"/>
      <c r="G113" s="574"/>
      <c r="H113" s="574"/>
      <c r="I113" s="574"/>
      <c r="J113" s="574"/>
      <c r="K113" s="574"/>
      <c r="L113" s="574"/>
      <c r="M113" s="574"/>
      <c r="N113" s="574"/>
      <c r="O113" s="574"/>
      <c r="P113" s="574"/>
      <c r="Q113" s="574"/>
      <c r="R113" s="574"/>
      <c r="S113" s="574"/>
      <c r="T113" s="574"/>
      <c r="U113" s="55"/>
      <c r="V113" s="55"/>
      <c r="W113" s="55"/>
      <c r="Y113" s="388"/>
    </row>
    <row r="114" spans="2:25" s="39" customFormat="1" x14ac:dyDescent="0.3">
      <c r="F114" s="55"/>
      <c r="G114" s="574"/>
      <c r="H114" s="574"/>
      <c r="I114" s="574"/>
      <c r="J114" s="574"/>
      <c r="K114" s="574"/>
      <c r="L114" s="574"/>
      <c r="M114" s="574"/>
      <c r="N114" s="574"/>
      <c r="O114" s="574"/>
      <c r="P114" s="574"/>
      <c r="Q114" s="574"/>
      <c r="R114" s="574"/>
      <c r="S114" s="574"/>
      <c r="T114" s="574"/>
      <c r="U114" s="55"/>
      <c r="V114" s="55"/>
      <c r="W114" s="55"/>
      <c r="Y114" s="388"/>
    </row>
    <row r="115" spans="2:25" s="39" customFormat="1" x14ac:dyDescent="0.3">
      <c r="F115" s="55"/>
      <c r="G115" s="574"/>
      <c r="H115" s="574"/>
      <c r="I115" s="574"/>
      <c r="J115" s="574"/>
      <c r="K115" s="574"/>
      <c r="L115" s="574"/>
      <c r="M115" s="574"/>
      <c r="N115" s="574"/>
      <c r="O115" s="574"/>
      <c r="P115" s="574"/>
      <c r="Q115" s="574"/>
      <c r="R115" s="574"/>
      <c r="S115" s="574"/>
      <c r="T115" s="574"/>
      <c r="U115" s="55"/>
      <c r="V115" s="55"/>
      <c r="W115" s="55"/>
      <c r="Y115" s="388"/>
    </row>
    <row r="116" spans="2:25" s="39" customFormat="1" x14ac:dyDescent="0.3">
      <c r="F116" s="55"/>
      <c r="G116" s="574"/>
      <c r="H116" s="574"/>
      <c r="I116" s="574"/>
      <c r="J116" s="574"/>
      <c r="K116" s="574"/>
      <c r="L116" s="574"/>
      <c r="M116" s="574"/>
      <c r="N116" s="574"/>
      <c r="O116" s="574"/>
      <c r="P116" s="574"/>
      <c r="Q116" s="574"/>
      <c r="R116" s="574"/>
      <c r="S116" s="574"/>
      <c r="T116" s="574"/>
      <c r="U116" s="55"/>
      <c r="V116" s="55"/>
      <c r="W116" s="55"/>
      <c r="Y116" s="388"/>
    </row>
    <row r="117" spans="2:25" s="39" customFormat="1" x14ac:dyDescent="0.3">
      <c r="B117" s="56"/>
      <c r="F117" s="55"/>
      <c r="G117" s="574"/>
      <c r="H117" s="574"/>
      <c r="I117" s="574"/>
      <c r="J117" s="574"/>
      <c r="K117" s="574"/>
      <c r="L117" s="574"/>
      <c r="M117" s="574"/>
      <c r="N117" s="574"/>
      <c r="O117" s="574"/>
      <c r="P117" s="574"/>
      <c r="Q117" s="574"/>
      <c r="R117" s="574"/>
      <c r="S117" s="574"/>
      <c r="T117" s="574"/>
      <c r="U117" s="55"/>
      <c r="V117" s="55"/>
      <c r="W117" s="55"/>
      <c r="Y117" s="388"/>
    </row>
    <row r="118" spans="2:25" s="39" customFormat="1" x14ac:dyDescent="0.3">
      <c r="F118" s="55"/>
      <c r="G118" s="574"/>
      <c r="H118" s="574"/>
      <c r="I118" s="574"/>
      <c r="J118" s="574"/>
      <c r="K118" s="574"/>
      <c r="L118" s="574"/>
      <c r="M118" s="574"/>
      <c r="N118" s="574"/>
      <c r="O118" s="574"/>
      <c r="P118" s="574"/>
      <c r="Q118" s="574"/>
      <c r="R118" s="574"/>
      <c r="S118" s="574"/>
      <c r="T118" s="574"/>
      <c r="U118" s="55"/>
      <c r="V118" s="55"/>
      <c r="W118" s="55"/>
      <c r="Y118" s="388"/>
    </row>
    <row r="119" spans="2:25" x14ac:dyDescent="0.3">
      <c r="G119" s="574"/>
      <c r="H119" s="574"/>
      <c r="I119" s="574"/>
      <c r="J119" s="574"/>
      <c r="K119" s="574"/>
      <c r="L119" s="574"/>
      <c r="M119" s="574"/>
      <c r="N119" s="574"/>
      <c r="O119" s="574"/>
      <c r="P119" s="574"/>
      <c r="Q119" s="574"/>
      <c r="R119" s="574"/>
      <c r="S119" s="574"/>
      <c r="T119" s="574"/>
      <c r="U119" s="50"/>
      <c r="V119" s="50"/>
      <c r="W119" s="50"/>
      <c r="Y119" s="38"/>
    </row>
    <row r="120" spans="2:25" x14ac:dyDescent="0.3">
      <c r="G120" s="574"/>
      <c r="H120" s="574"/>
      <c r="I120" s="574"/>
      <c r="J120" s="574"/>
      <c r="K120" s="574"/>
      <c r="L120" s="574"/>
      <c r="M120" s="574"/>
      <c r="N120" s="574"/>
      <c r="O120" s="574"/>
      <c r="P120" s="574"/>
      <c r="Q120" s="574"/>
      <c r="R120" s="574"/>
      <c r="S120" s="574"/>
      <c r="T120" s="574"/>
      <c r="U120" s="50"/>
      <c r="V120" s="50"/>
      <c r="W120" s="50"/>
      <c r="Y120" s="38"/>
    </row>
    <row r="121" spans="2:25" x14ac:dyDescent="0.3">
      <c r="G121" s="574"/>
      <c r="H121" s="574"/>
      <c r="I121" s="574"/>
      <c r="J121" s="574"/>
      <c r="K121" s="574"/>
      <c r="L121" s="574"/>
      <c r="M121" s="574"/>
      <c r="N121" s="574"/>
      <c r="O121" s="574"/>
      <c r="P121" s="574"/>
      <c r="Q121" s="574"/>
      <c r="R121" s="574"/>
      <c r="S121" s="574"/>
      <c r="T121" s="574"/>
      <c r="U121" s="50"/>
      <c r="V121" s="50"/>
      <c r="W121" s="50"/>
      <c r="Y121" s="38"/>
    </row>
    <row r="122" spans="2:25" x14ac:dyDescent="0.3">
      <c r="G122" s="574"/>
      <c r="H122" s="574"/>
      <c r="I122" s="574"/>
      <c r="J122" s="574"/>
      <c r="K122" s="574"/>
      <c r="L122" s="574"/>
      <c r="M122" s="574"/>
      <c r="N122" s="574"/>
      <c r="O122" s="574"/>
      <c r="P122" s="574"/>
      <c r="Q122" s="574"/>
      <c r="R122" s="574"/>
      <c r="S122" s="574"/>
      <c r="T122" s="574"/>
      <c r="U122" s="50"/>
      <c r="V122" s="50"/>
      <c r="W122" s="50"/>
      <c r="Y122" s="38"/>
    </row>
    <row r="123" spans="2:25" x14ac:dyDescent="0.3">
      <c r="G123" s="574"/>
      <c r="H123" s="574"/>
      <c r="I123" s="574"/>
      <c r="J123" s="574"/>
      <c r="K123" s="574"/>
      <c r="L123" s="574"/>
      <c r="M123" s="574"/>
      <c r="N123" s="574"/>
      <c r="O123" s="574"/>
      <c r="P123" s="574"/>
      <c r="Q123" s="574"/>
      <c r="R123" s="574"/>
      <c r="S123" s="574"/>
      <c r="T123" s="574"/>
      <c r="U123" s="50"/>
      <c r="V123" s="50"/>
      <c r="W123" s="50"/>
      <c r="Y123" s="38"/>
    </row>
    <row r="124" spans="2:25" x14ac:dyDescent="0.3">
      <c r="G124" s="574"/>
      <c r="H124" s="574"/>
      <c r="I124" s="574"/>
      <c r="J124" s="574"/>
      <c r="K124" s="574"/>
      <c r="L124" s="574"/>
      <c r="M124" s="574"/>
      <c r="N124" s="574"/>
      <c r="O124" s="574"/>
      <c r="P124" s="574"/>
      <c r="Q124" s="574"/>
      <c r="R124" s="574"/>
      <c r="S124" s="574"/>
      <c r="T124" s="574"/>
      <c r="U124" s="50"/>
      <c r="V124" s="50"/>
      <c r="W124" s="50"/>
      <c r="Y124" s="38"/>
    </row>
    <row r="125" spans="2:25" x14ac:dyDescent="0.3">
      <c r="G125" s="574"/>
      <c r="H125" s="574"/>
      <c r="I125" s="574"/>
      <c r="J125" s="574"/>
      <c r="K125" s="574"/>
      <c r="L125" s="574"/>
      <c r="M125" s="574"/>
      <c r="N125" s="574"/>
      <c r="O125" s="574"/>
      <c r="P125" s="574"/>
      <c r="Q125" s="574"/>
      <c r="R125" s="574"/>
      <c r="S125" s="574"/>
      <c r="T125" s="574"/>
      <c r="U125" s="50"/>
      <c r="V125" s="50"/>
      <c r="W125" s="50"/>
      <c r="Y125" s="38"/>
    </row>
    <row r="126" spans="2:25" x14ac:dyDescent="0.3">
      <c r="G126" s="574"/>
      <c r="H126" s="574"/>
      <c r="I126" s="574"/>
      <c r="J126" s="574"/>
      <c r="K126" s="574"/>
      <c r="L126" s="574"/>
      <c r="M126" s="574"/>
      <c r="N126" s="574"/>
      <c r="O126" s="574"/>
      <c r="P126" s="574"/>
      <c r="Q126" s="574"/>
      <c r="R126" s="574"/>
      <c r="S126" s="574"/>
      <c r="T126" s="574"/>
      <c r="U126" s="50"/>
      <c r="V126" s="50"/>
      <c r="W126" s="50"/>
      <c r="Y126" s="38"/>
    </row>
    <row r="127" spans="2:25" x14ac:dyDescent="0.3">
      <c r="G127" s="574"/>
      <c r="H127" s="574"/>
      <c r="I127" s="574"/>
      <c r="J127" s="574"/>
      <c r="K127" s="574"/>
      <c r="L127" s="574"/>
      <c r="M127" s="574"/>
      <c r="N127" s="574"/>
      <c r="O127" s="574"/>
      <c r="P127" s="574"/>
      <c r="Q127" s="574"/>
      <c r="R127" s="574"/>
      <c r="S127" s="574"/>
      <c r="T127" s="574"/>
      <c r="U127" s="50"/>
      <c r="V127" s="50"/>
      <c r="W127" s="50"/>
      <c r="Y127" s="38"/>
    </row>
    <row r="128" spans="2:25" x14ac:dyDescent="0.3">
      <c r="G128" s="574"/>
      <c r="H128" s="574"/>
      <c r="I128" s="574"/>
      <c r="J128" s="574"/>
      <c r="K128" s="574"/>
      <c r="L128" s="574"/>
      <c r="M128" s="574"/>
      <c r="N128" s="574"/>
      <c r="O128" s="574"/>
      <c r="P128" s="574"/>
      <c r="Q128" s="574"/>
      <c r="R128" s="574"/>
      <c r="S128" s="574"/>
      <c r="T128" s="574"/>
      <c r="U128" s="50"/>
      <c r="V128" s="50"/>
      <c r="W128" s="50"/>
      <c r="Y128" s="38"/>
    </row>
    <row r="129" spans="7:25" x14ac:dyDescent="0.3">
      <c r="G129" s="574"/>
      <c r="H129" s="574"/>
      <c r="I129" s="574"/>
      <c r="J129" s="574"/>
      <c r="K129" s="574"/>
      <c r="L129" s="574"/>
      <c r="M129" s="574"/>
      <c r="N129" s="574"/>
      <c r="O129" s="574"/>
      <c r="P129" s="574"/>
      <c r="Q129" s="574"/>
      <c r="R129" s="574"/>
      <c r="S129" s="574"/>
      <c r="T129" s="574"/>
      <c r="U129" s="50"/>
      <c r="V129" s="50"/>
      <c r="W129" s="50"/>
      <c r="Y129" s="38"/>
    </row>
    <row r="130" spans="7:25" x14ac:dyDescent="0.3">
      <c r="G130" s="574"/>
      <c r="H130" s="574"/>
      <c r="I130" s="574"/>
      <c r="J130" s="574"/>
      <c r="K130" s="574"/>
      <c r="L130" s="574"/>
      <c r="M130" s="574"/>
      <c r="N130" s="574"/>
      <c r="O130" s="574"/>
      <c r="P130" s="574"/>
      <c r="Q130" s="574"/>
      <c r="R130" s="574"/>
      <c r="S130" s="574"/>
      <c r="T130" s="574"/>
      <c r="U130" s="50"/>
      <c r="V130" s="50"/>
      <c r="W130" s="50"/>
      <c r="Y130" s="38"/>
    </row>
    <row r="131" spans="7:25" x14ac:dyDescent="0.3">
      <c r="G131" s="574"/>
      <c r="H131" s="574"/>
      <c r="I131" s="574"/>
      <c r="J131" s="574"/>
      <c r="K131" s="574"/>
      <c r="L131" s="574"/>
      <c r="M131" s="574"/>
      <c r="N131" s="574"/>
      <c r="O131" s="574"/>
      <c r="P131" s="574"/>
      <c r="Q131" s="574"/>
      <c r="R131" s="574"/>
      <c r="S131" s="574"/>
      <c r="T131" s="574"/>
      <c r="U131" s="50"/>
      <c r="V131" s="50"/>
      <c r="W131" s="50"/>
      <c r="Y131" s="38"/>
    </row>
    <row r="132" spans="7:25" x14ac:dyDescent="0.3">
      <c r="G132" s="574"/>
      <c r="H132" s="574"/>
      <c r="I132" s="574"/>
      <c r="J132" s="574"/>
      <c r="K132" s="574"/>
      <c r="L132" s="574"/>
      <c r="M132" s="574"/>
      <c r="N132" s="574"/>
      <c r="O132" s="574"/>
      <c r="P132" s="574"/>
      <c r="Q132" s="574"/>
      <c r="R132" s="574"/>
      <c r="S132" s="574"/>
      <c r="T132" s="574"/>
      <c r="U132" s="50"/>
      <c r="V132" s="50"/>
      <c r="W132" s="50"/>
      <c r="Y132" s="38"/>
    </row>
    <row r="133" spans="7:25" x14ac:dyDescent="0.3">
      <c r="G133" s="574"/>
      <c r="H133" s="574"/>
      <c r="I133" s="574"/>
      <c r="J133" s="574"/>
      <c r="K133" s="574"/>
      <c r="L133" s="574"/>
      <c r="M133" s="574"/>
      <c r="N133" s="574"/>
      <c r="O133" s="574"/>
      <c r="P133" s="574"/>
      <c r="Q133" s="574"/>
      <c r="R133" s="574"/>
      <c r="S133" s="574"/>
      <c r="T133" s="574"/>
      <c r="U133" s="50"/>
      <c r="V133" s="50"/>
      <c r="W133" s="50"/>
      <c r="Y133" s="38"/>
    </row>
    <row r="134" spans="7:25" x14ac:dyDescent="0.3">
      <c r="G134" s="574"/>
      <c r="H134" s="574"/>
      <c r="I134" s="574"/>
      <c r="J134" s="574"/>
      <c r="K134" s="574"/>
      <c r="L134" s="574"/>
      <c r="M134" s="574"/>
      <c r="N134" s="574"/>
      <c r="O134" s="574"/>
      <c r="P134" s="574"/>
      <c r="Q134" s="574"/>
      <c r="R134" s="574"/>
      <c r="S134" s="574"/>
      <c r="T134" s="574"/>
      <c r="U134" s="50"/>
      <c r="V134" s="50"/>
      <c r="W134" s="50"/>
      <c r="Y134" s="38"/>
    </row>
    <row r="135" spans="7:25" x14ac:dyDescent="0.3">
      <c r="G135" s="574"/>
      <c r="H135" s="574"/>
      <c r="I135" s="574"/>
      <c r="J135" s="574"/>
      <c r="K135" s="574"/>
      <c r="L135" s="574"/>
      <c r="M135" s="574"/>
      <c r="N135" s="574"/>
      <c r="O135" s="574"/>
      <c r="P135" s="574"/>
      <c r="Q135" s="574"/>
      <c r="R135" s="574"/>
      <c r="S135" s="574"/>
      <c r="T135" s="574"/>
      <c r="U135" s="50"/>
      <c r="V135" s="50"/>
      <c r="W135" s="50"/>
      <c r="Y135" s="38"/>
    </row>
    <row r="136" spans="7:25" x14ac:dyDescent="0.3">
      <c r="G136" s="574"/>
      <c r="H136" s="574"/>
      <c r="I136" s="574"/>
      <c r="J136" s="574"/>
      <c r="K136" s="574"/>
      <c r="L136" s="574"/>
      <c r="M136" s="574"/>
      <c r="N136" s="574"/>
      <c r="O136" s="574"/>
      <c r="P136" s="574"/>
      <c r="Q136" s="574"/>
      <c r="R136" s="574"/>
      <c r="S136" s="574"/>
      <c r="T136" s="574"/>
      <c r="U136" s="50"/>
      <c r="V136" s="50"/>
      <c r="W136" s="50"/>
      <c r="Y136" s="38"/>
    </row>
    <row r="137" spans="7:25" x14ac:dyDescent="0.3">
      <c r="G137" s="574"/>
      <c r="H137" s="574"/>
      <c r="I137" s="574"/>
      <c r="J137" s="574"/>
      <c r="K137" s="574"/>
      <c r="L137" s="574"/>
      <c r="M137" s="574"/>
      <c r="N137" s="574"/>
      <c r="O137" s="574"/>
      <c r="P137" s="574"/>
      <c r="Q137" s="574"/>
      <c r="R137" s="574"/>
      <c r="S137" s="574"/>
      <c r="T137" s="574"/>
      <c r="U137" s="50"/>
      <c r="V137" s="50"/>
      <c r="W137" s="50"/>
      <c r="Y137" s="38"/>
    </row>
    <row r="138" spans="7:25" x14ac:dyDescent="0.3">
      <c r="G138" s="574"/>
      <c r="H138" s="574"/>
      <c r="I138" s="574"/>
      <c r="J138" s="574"/>
      <c r="K138" s="574"/>
      <c r="L138" s="574"/>
      <c r="M138" s="574"/>
      <c r="N138" s="574"/>
      <c r="O138" s="574"/>
      <c r="P138" s="574"/>
      <c r="Q138" s="574"/>
      <c r="R138" s="574"/>
      <c r="S138" s="574"/>
      <c r="T138" s="574"/>
      <c r="U138" s="50"/>
      <c r="V138" s="50"/>
      <c r="W138" s="50"/>
      <c r="Y138" s="38"/>
    </row>
    <row r="139" spans="7:25" x14ac:dyDescent="0.3">
      <c r="G139" s="574"/>
      <c r="H139" s="574"/>
      <c r="I139" s="574"/>
      <c r="J139" s="574"/>
      <c r="K139" s="574"/>
      <c r="L139" s="574"/>
      <c r="M139" s="574"/>
      <c r="N139" s="574"/>
      <c r="O139" s="574"/>
      <c r="P139" s="574"/>
      <c r="Q139" s="574"/>
      <c r="R139" s="574"/>
      <c r="S139" s="574"/>
      <c r="T139" s="574"/>
      <c r="U139" s="50"/>
      <c r="V139" s="50"/>
      <c r="W139" s="50"/>
      <c r="Y139" s="38"/>
    </row>
    <row r="140" spans="7:25" x14ac:dyDescent="0.3">
      <c r="G140" s="574"/>
      <c r="H140" s="574"/>
      <c r="I140" s="574"/>
      <c r="J140" s="574"/>
      <c r="K140" s="574"/>
      <c r="L140" s="574"/>
      <c r="M140" s="574"/>
      <c r="N140" s="574"/>
      <c r="O140" s="574"/>
      <c r="P140" s="574"/>
      <c r="Q140" s="574"/>
      <c r="R140" s="574"/>
      <c r="S140" s="574"/>
      <c r="T140" s="574"/>
      <c r="U140" s="50"/>
      <c r="V140" s="50"/>
      <c r="W140" s="50"/>
      <c r="Y140" s="38"/>
    </row>
    <row r="141" spans="7:25" x14ac:dyDescent="0.3">
      <c r="G141" s="574"/>
      <c r="H141" s="574"/>
      <c r="I141" s="574"/>
      <c r="J141" s="574"/>
      <c r="K141" s="574"/>
      <c r="L141" s="574"/>
      <c r="M141" s="574"/>
      <c r="N141" s="574"/>
      <c r="O141" s="574"/>
      <c r="P141" s="574"/>
      <c r="Q141" s="574"/>
      <c r="R141" s="574"/>
      <c r="S141" s="574"/>
      <c r="T141" s="574"/>
      <c r="U141" s="50"/>
      <c r="V141" s="50"/>
      <c r="W141" s="50"/>
      <c r="Y141" s="38"/>
    </row>
    <row r="142" spans="7:25" x14ac:dyDescent="0.3">
      <c r="G142" s="574"/>
      <c r="H142" s="574"/>
      <c r="I142" s="574"/>
      <c r="J142" s="574"/>
      <c r="K142" s="574"/>
      <c r="L142" s="574"/>
      <c r="M142" s="574"/>
      <c r="N142" s="574"/>
      <c r="O142" s="574"/>
      <c r="P142" s="574"/>
      <c r="Q142" s="574"/>
      <c r="R142" s="574"/>
      <c r="S142" s="574"/>
      <c r="T142" s="574"/>
      <c r="U142" s="50"/>
      <c r="V142" s="50"/>
      <c r="W142" s="50"/>
      <c r="Y142" s="38"/>
    </row>
    <row r="143" spans="7:25" x14ac:dyDescent="0.3">
      <c r="G143" s="574"/>
      <c r="H143" s="574"/>
      <c r="I143" s="574"/>
      <c r="J143" s="574"/>
      <c r="K143" s="574"/>
      <c r="L143" s="574"/>
      <c r="M143" s="574"/>
      <c r="N143" s="574"/>
      <c r="O143" s="574"/>
      <c r="P143" s="574"/>
      <c r="Q143" s="574"/>
      <c r="R143" s="574"/>
      <c r="S143" s="574"/>
      <c r="T143" s="574"/>
      <c r="U143" s="50"/>
      <c r="V143" s="50"/>
      <c r="W143" s="50"/>
      <c r="Y143" s="38"/>
    </row>
    <row r="144" spans="7:25" x14ac:dyDescent="0.3">
      <c r="G144" s="574"/>
      <c r="H144" s="574"/>
      <c r="I144" s="574"/>
      <c r="J144" s="574"/>
      <c r="K144" s="574"/>
      <c r="L144" s="574"/>
      <c r="M144" s="574"/>
      <c r="N144" s="574"/>
      <c r="O144" s="574"/>
      <c r="P144" s="574"/>
      <c r="Q144" s="574"/>
      <c r="R144" s="574"/>
      <c r="S144" s="574"/>
      <c r="T144" s="574"/>
      <c r="U144" s="50"/>
      <c r="V144" s="50"/>
      <c r="W144" s="50"/>
      <c r="Y144" s="38"/>
    </row>
    <row r="145" spans="7:25" x14ac:dyDescent="0.3">
      <c r="G145" s="574"/>
      <c r="H145" s="574"/>
      <c r="I145" s="574"/>
      <c r="J145" s="574"/>
      <c r="K145" s="574"/>
      <c r="L145" s="574"/>
      <c r="M145" s="574"/>
      <c r="N145" s="574"/>
      <c r="O145" s="574"/>
      <c r="P145" s="574"/>
      <c r="Q145" s="574"/>
      <c r="R145" s="574"/>
      <c r="S145" s="574"/>
      <c r="T145" s="574"/>
      <c r="U145" s="50"/>
      <c r="V145" s="50"/>
      <c r="W145" s="50"/>
      <c r="Y145" s="38"/>
    </row>
    <row r="146" spans="7:25" x14ac:dyDescent="0.3">
      <c r="G146" s="574"/>
      <c r="H146" s="574"/>
      <c r="I146" s="574"/>
      <c r="J146" s="574"/>
      <c r="K146" s="574"/>
      <c r="L146" s="574"/>
      <c r="M146" s="574"/>
      <c r="N146" s="574"/>
      <c r="O146" s="574"/>
      <c r="P146" s="574"/>
      <c r="Q146" s="574"/>
      <c r="R146" s="574"/>
      <c r="S146" s="574"/>
      <c r="T146" s="574"/>
      <c r="U146" s="50"/>
      <c r="V146" s="50"/>
      <c r="W146" s="50"/>
      <c r="Y146" s="38"/>
    </row>
    <row r="147" spans="7:25" x14ac:dyDescent="0.3">
      <c r="G147" s="574"/>
      <c r="H147" s="574"/>
      <c r="I147" s="574"/>
      <c r="J147" s="574"/>
      <c r="K147" s="574"/>
      <c r="L147" s="574"/>
      <c r="M147" s="574"/>
      <c r="N147" s="574"/>
      <c r="O147" s="574"/>
      <c r="P147" s="574"/>
      <c r="Q147" s="574"/>
      <c r="R147" s="574"/>
      <c r="S147" s="574"/>
      <c r="T147" s="574"/>
      <c r="U147" s="50"/>
      <c r="V147" s="50"/>
      <c r="W147" s="50"/>
      <c r="Y147" s="38"/>
    </row>
    <row r="148" spans="7:25" x14ac:dyDescent="0.3">
      <c r="G148" s="574"/>
      <c r="H148" s="574"/>
      <c r="I148" s="574"/>
      <c r="J148" s="574"/>
      <c r="K148" s="574"/>
      <c r="L148" s="574"/>
      <c r="M148" s="574"/>
      <c r="N148" s="574"/>
      <c r="O148" s="574"/>
      <c r="P148" s="574"/>
      <c r="Q148" s="574"/>
      <c r="R148" s="574"/>
      <c r="S148" s="574"/>
      <c r="T148" s="574"/>
      <c r="U148" s="50"/>
      <c r="V148" s="50"/>
      <c r="W148" s="50"/>
      <c r="Y148" s="38"/>
    </row>
    <row r="149" spans="7:25" x14ac:dyDescent="0.3">
      <c r="G149" s="574"/>
      <c r="H149" s="574"/>
      <c r="I149" s="574"/>
      <c r="J149" s="574"/>
      <c r="K149" s="574"/>
      <c r="L149" s="574"/>
      <c r="M149" s="574"/>
      <c r="N149" s="574"/>
      <c r="O149" s="574"/>
      <c r="P149" s="574"/>
      <c r="Q149" s="574"/>
      <c r="R149" s="574"/>
      <c r="S149" s="574"/>
      <c r="T149" s="574"/>
      <c r="U149" s="50"/>
      <c r="V149" s="50"/>
      <c r="W149" s="50"/>
      <c r="Y149" s="38"/>
    </row>
    <row r="150" spans="7:25" x14ac:dyDescent="0.3">
      <c r="G150" s="574"/>
      <c r="H150" s="574"/>
      <c r="I150" s="574"/>
      <c r="J150" s="574"/>
      <c r="K150" s="574"/>
      <c r="L150" s="574"/>
      <c r="M150" s="574"/>
      <c r="N150" s="574"/>
      <c r="O150" s="574"/>
      <c r="P150" s="574"/>
      <c r="Q150" s="574"/>
      <c r="R150" s="574"/>
      <c r="S150" s="574"/>
      <c r="T150" s="574"/>
      <c r="U150" s="50"/>
      <c r="V150" s="50"/>
      <c r="W150" s="50"/>
      <c r="Y150" s="38"/>
    </row>
    <row r="151" spans="7:25" x14ac:dyDescent="0.3">
      <c r="G151" s="574"/>
      <c r="H151" s="574"/>
      <c r="I151" s="574"/>
      <c r="J151" s="574"/>
      <c r="K151" s="574"/>
      <c r="L151" s="574"/>
      <c r="M151" s="574"/>
      <c r="N151" s="574"/>
      <c r="O151" s="574"/>
      <c r="P151" s="574"/>
      <c r="Q151" s="574"/>
      <c r="R151" s="574"/>
      <c r="S151" s="574"/>
      <c r="T151" s="574"/>
      <c r="U151" s="50"/>
      <c r="V151" s="50"/>
      <c r="W151" s="50"/>
      <c r="Y151" s="38"/>
    </row>
    <row r="152" spans="7:25" x14ac:dyDescent="0.3">
      <c r="G152" s="574"/>
      <c r="H152" s="574"/>
      <c r="I152" s="574"/>
      <c r="J152" s="574"/>
      <c r="K152" s="574"/>
      <c r="L152" s="574"/>
      <c r="M152" s="574"/>
      <c r="N152" s="574"/>
      <c r="O152" s="574"/>
      <c r="P152" s="574"/>
      <c r="Q152" s="574"/>
      <c r="R152" s="574"/>
      <c r="S152" s="574"/>
      <c r="T152" s="574"/>
      <c r="U152" s="50"/>
      <c r="V152" s="50"/>
      <c r="W152" s="50"/>
      <c r="Y152" s="38"/>
    </row>
    <row r="153" spans="7:25" x14ac:dyDescent="0.3">
      <c r="G153" s="574"/>
      <c r="H153" s="574"/>
      <c r="I153" s="574"/>
      <c r="J153" s="574"/>
      <c r="K153" s="574"/>
      <c r="L153" s="574"/>
      <c r="M153" s="574"/>
      <c r="N153" s="574"/>
      <c r="O153" s="574"/>
      <c r="P153" s="574"/>
      <c r="Q153" s="574"/>
      <c r="R153" s="574"/>
      <c r="S153" s="574"/>
      <c r="T153" s="574"/>
      <c r="U153" s="50"/>
      <c r="V153" s="50"/>
      <c r="W153" s="50"/>
      <c r="Y153" s="38"/>
    </row>
    <row r="154" spans="7:25" x14ac:dyDescent="0.3">
      <c r="G154" s="574"/>
      <c r="H154" s="574"/>
      <c r="I154" s="574"/>
      <c r="J154" s="574"/>
      <c r="K154" s="574"/>
      <c r="L154" s="574"/>
      <c r="M154" s="574"/>
      <c r="N154" s="574"/>
      <c r="O154" s="574"/>
      <c r="P154" s="574"/>
      <c r="Q154" s="574"/>
      <c r="R154" s="574"/>
      <c r="S154" s="574"/>
      <c r="T154" s="574"/>
      <c r="U154" s="50"/>
      <c r="V154" s="50"/>
      <c r="W154" s="50"/>
      <c r="Y154" s="38"/>
    </row>
    <row r="155" spans="7:25" x14ac:dyDescent="0.3">
      <c r="G155" s="574"/>
      <c r="H155" s="574"/>
      <c r="I155" s="574"/>
      <c r="J155" s="574"/>
      <c r="K155" s="574"/>
      <c r="L155" s="574"/>
      <c r="M155" s="574"/>
      <c r="N155" s="574"/>
      <c r="O155" s="574"/>
      <c r="P155" s="574"/>
      <c r="Q155" s="574"/>
      <c r="R155" s="574"/>
      <c r="S155" s="574"/>
      <c r="T155" s="574"/>
      <c r="U155" s="50"/>
      <c r="V155" s="50"/>
      <c r="W155" s="50"/>
      <c r="Y155" s="38"/>
    </row>
    <row r="156" spans="7:25" x14ac:dyDescent="0.3">
      <c r="G156" s="574"/>
      <c r="H156" s="574"/>
      <c r="I156" s="574"/>
      <c r="J156" s="574"/>
      <c r="K156" s="574"/>
      <c r="L156" s="574"/>
      <c r="M156" s="574"/>
      <c r="N156" s="574"/>
      <c r="O156" s="574"/>
      <c r="P156" s="574"/>
      <c r="Q156" s="574"/>
      <c r="R156" s="574"/>
      <c r="S156" s="574"/>
      <c r="T156" s="574"/>
      <c r="U156" s="50"/>
      <c r="V156" s="50"/>
      <c r="W156" s="50"/>
      <c r="Y156" s="38"/>
    </row>
    <row r="157" spans="7:25" x14ac:dyDescent="0.3">
      <c r="G157" s="574"/>
      <c r="H157" s="574"/>
      <c r="I157" s="574"/>
      <c r="J157" s="574"/>
      <c r="K157" s="574"/>
      <c r="L157" s="574"/>
      <c r="M157" s="574"/>
      <c r="N157" s="574"/>
      <c r="O157" s="574"/>
      <c r="P157" s="574"/>
      <c r="Q157" s="574"/>
      <c r="R157" s="574"/>
      <c r="S157" s="574"/>
      <c r="T157" s="574"/>
      <c r="U157" s="50"/>
      <c r="V157" s="50"/>
      <c r="W157" s="50"/>
      <c r="Y157" s="38"/>
    </row>
    <row r="158" spans="7:25" x14ac:dyDescent="0.3">
      <c r="G158" s="574"/>
      <c r="H158" s="574"/>
      <c r="I158" s="574"/>
      <c r="J158" s="574"/>
      <c r="K158" s="574"/>
      <c r="L158" s="574"/>
      <c r="M158" s="574"/>
      <c r="N158" s="574"/>
      <c r="O158" s="574"/>
      <c r="P158" s="574"/>
      <c r="Q158" s="574"/>
      <c r="R158" s="574"/>
      <c r="S158" s="574"/>
      <c r="T158" s="574"/>
      <c r="U158" s="50"/>
      <c r="V158" s="50"/>
      <c r="W158" s="50"/>
      <c r="Y158" s="38"/>
    </row>
    <row r="159" spans="7:25" x14ac:dyDescent="0.3">
      <c r="G159" s="574"/>
      <c r="H159" s="574"/>
      <c r="I159" s="574"/>
      <c r="J159" s="574"/>
      <c r="K159" s="574"/>
      <c r="L159" s="574"/>
      <c r="M159" s="574"/>
      <c r="N159" s="574"/>
      <c r="O159" s="574"/>
      <c r="P159" s="574"/>
      <c r="Q159" s="574"/>
      <c r="R159" s="574"/>
      <c r="S159" s="574"/>
      <c r="T159" s="574"/>
      <c r="U159" s="50"/>
      <c r="V159" s="50"/>
      <c r="W159" s="50"/>
      <c r="Y159" s="38"/>
    </row>
    <row r="160" spans="7:25" x14ac:dyDescent="0.3">
      <c r="G160" s="574"/>
      <c r="H160" s="574"/>
      <c r="I160" s="574"/>
      <c r="J160" s="574"/>
      <c r="K160" s="574"/>
      <c r="L160" s="574"/>
      <c r="M160" s="574"/>
      <c r="N160" s="574"/>
      <c r="O160" s="574"/>
      <c r="P160" s="574"/>
      <c r="Q160" s="574"/>
      <c r="R160" s="574"/>
      <c r="S160" s="574"/>
      <c r="T160" s="574"/>
      <c r="U160" s="50"/>
      <c r="V160" s="50"/>
      <c r="W160" s="50"/>
      <c r="Y160" s="38"/>
    </row>
    <row r="161" spans="7:25" x14ac:dyDescent="0.3">
      <c r="G161" s="574"/>
      <c r="H161" s="574"/>
      <c r="I161" s="574"/>
      <c r="J161" s="574"/>
      <c r="K161" s="574"/>
      <c r="L161" s="574"/>
      <c r="M161" s="574"/>
      <c r="N161" s="574"/>
      <c r="O161" s="574"/>
      <c r="P161" s="574"/>
      <c r="Q161" s="574"/>
      <c r="R161" s="574"/>
      <c r="S161" s="574"/>
      <c r="T161" s="574"/>
      <c r="U161" s="50"/>
      <c r="V161" s="50"/>
      <c r="W161" s="50"/>
      <c r="Y161" s="38"/>
    </row>
    <row r="162" spans="7:25" x14ac:dyDescent="0.3">
      <c r="G162" s="574"/>
      <c r="H162" s="574"/>
      <c r="I162" s="574"/>
      <c r="J162" s="574"/>
      <c r="K162" s="574"/>
      <c r="L162" s="574"/>
      <c r="M162" s="574"/>
      <c r="N162" s="574"/>
      <c r="O162" s="574"/>
      <c r="P162" s="574"/>
      <c r="Q162" s="574"/>
      <c r="R162" s="574"/>
      <c r="S162" s="574"/>
      <c r="T162" s="574"/>
      <c r="U162" s="50"/>
      <c r="V162" s="50"/>
      <c r="W162" s="50"/>
      <c r="Y162" s="38"/>
    </row>
    <row r="163" spans="7:25" x14ac:dyDescent="0.3">
      <c r="G163" s="574"/>
      <c r="H163" s="574"/>
      <c r="I163" s="574"/>
      <c r="J163" s="574"/>
      <c r="K163" s="574"/>
      <c r="L163" s="574"/>
      <c r="M163" s="574"/>
      <c r="N163" s="574"/>
      <c r="O163" s="574"/>
      <c r="P163" s="574"/>
      <c r="Q163" s="574"/>
      <c r="R163" s="574"/>
      <c r="S163" s="574"/>
      <c r="T163" s="574"/>
      <c r="U163" s="50"/>
      <c r="V163" s="50"/>
      <c r="W163" s="50"/>
      <c r="Y163" s="38"/>
    </row>
    <row r="164" spans="7:25" x14ac:dyDescent="0.3">
      <c r="G164" s="574"/>
      <c r="H164" s="574"/>
      <c r="I164" s="574"/>
      <c r="J164" s="574"/>
      <c r="K164" s="574"/>
      <c r="L164" s="574"/>
      <c r="M164" s="574"/>
      <c r="N164" s="574"/>
      <c r="O164" s="574"/>
      <c r="P164" s="574"/>
      <c r="Q164" s="574"/>
      <c r="R164" s="574"/>
      <c r="S164" s="574"/>
      <c r="T164" s="574"/>
      <c r="U164" s="50"/>
      <c r="V164" s="50"/>
      <c r="W164" s="50"/>
      <c r="Y164" s="38"/>
    </row>
    <row r="165" spans="7:25" x14ac:dyDescent="0.3">
      <c r="G165" s="574"/>
      <c r="H165" s="574"/>
      <c r="I165" s="574"/>
      <c r="J165" s="574"/>
      <c r="K165" s="574"/>
      <c r="L165" s="574"/>
      <c r="M165" s="574"/>
      <c r="N165" s="574"/>
      <c r="O165" s="574"/>
      <c r="P165" s="574"/>
      <c r="Q165" s="574"/>
      <c r="R165" s="574"/>
      <c r="S165" s="574"/>
      <c r="T165" s="574"/>
      <c r="U165" s="50"/>
      <c r="V165" s="50"/>
      <c r="W165" s="50"/>
      <c r="Y165" s="38"/>
    </row>
    <row r="166" spans="7:25" x14ac:dyDescent="0.3">
      <c r="G166" s="574"/>
      <c r="H166" s="574"/>
      <c r="I166" s="574"/>
      <c r="J166" s="574"/>
      <c r="K166" s="574"/>
      <c r="L166" s="574"/>
      <c r="M166" s="574"/>
      <c r="N166" s="574"/>
      <c r="O166" s="574"/>
      <c r="P166" s="574"/>
      <c r="Q166" s="574"/>
      <c r="R166" s="574"/>
      <c r="S166" s="574"/>
      <c r="T166" s="574"/>
      <c r="U166" s="50"/>
      <c r="V166" s="50"/>
      <c r="W166" s="50"/>
      <c r="Y166" s="38"/>
    </row>
    <row r="167" spans="7:25" x14ac:dyDescent="0.3">
      <c r="G167" s="574"/>
      <c r="H167" s="574"/>
      <c r="I167" s="574"/>
      <c r="J167" s="574"/>
      <c r="K167" s="574"/>
      <c r="L167" s="574"/>
      <c r="M167" s="574"/>
      <c r="N167" s="574"/>
      <c r="O167" s="574"/>
      <c r="P167" s="574"/>
      <c r="Q167" s="574"/>
      <c r="R167" s="574"/>
      <c r="S167" s="574"/>
      <c r="T167" s="574"/>
      <c r="U167" s="50"/>
      <c r="V167" s="50"/>
      <c r="W167" s="50"/>
      <c r="Y167" s="38"/>
    </row>
    <row r="168" spans="7:25" x14ac:dyDescent="0.3">
      <c r="G168" s="574"/>
      <c r="H168" s="574"/>
      <c r="I168" s="574"/>
      <c r="J168" s="574"/>
      <c r="K168" s="574"/>
      <c r="L168" s="574"/>
      <c r="M168" s="574"/>
      <c r="N168" s="574"/>
      <c r="O168" s="574"/>
      <c r="P168" s="574"/>
      <c r="Q168" s="574"/>
      <c r="R168" s="574"/>
      <c r="S168" s="574"/>
      <c r="T168" s="574"/>
      <c r="U168" s="50"/>
      <c r="V168" s="50"/>
      <c r="W168" s="50"/>
      <c r="Y168" s="38"/>
    </row>
    <row r="169" spans="7:25" x14ac:dyDescent="0.3">
      <c r="G169" s="574"/>
      <c r="H169" s="574"/>
      <c r="I169" s="574"/>
      <c r="J169" s="574"/>
      <c r="K169" s="574"/>
      <c r="L169" s="574"/>
      <c r="M169" s="574"/>
      <c r="N169" s="574"/>
      <c r="O169" s="574"/>
      <c r="P169" s="574"/>
      <c r="Q169" s="574"/>
      <c r="R169" s="574"/>
      <c r="S169" s="574"/>
      <c r="T169" s="574"/>
      <c r="U169" s="50"/>
      <c r="V169" s="50"/>
      <c r="W169" s="50"/>
      <c r="Y169" s="38"/>
    </row>
    <row r="170" spans="7:25" x14ac:dyDescent="0.3">
      <c r="G170" s="574"/>
      <c r="H170" s="574"/>
      <c r="I170" s="574"/>
      <c r="J170" s="574"/>
      <c r="K170" s="574"/>
      <c r="L170" s="574"/>
      <c r="M170" s="574"/>
      <c r="N170" s="574"/>
      <c r="O170" s="574"/>
      <c r="P170" s="574"/>
      <c r="Q170" s="574"/>
      <c r="R170" s="574"/>
      <c r="S170" s="574"/>
      <c r="T170" s="574"/>
      <c r="U170" s="50"/>
      <c r="V170" s="50"/>
      <c r="W170" s="50"/>
      <c r="Y170" s="38"/>
    </row>
    <row r="171" spans="7:25" x14ac:dyDescent="0.3">
      <c r="G171" s="574"/>
      <c r="H171" s="574"/>
      <c r="I171" s="574"/>
      <c r="J171" s="574"/>
      <c r="K171" s="574"/>
      <c r="L171" s="574"/>
      <c r="M171" s="574"/>
      <c r="N171" s="574"/>
      <c r="O171" s="574"/>
      <c r="P171" s="574"/>
      <c r="Q171" s="574"/>
      <c r="R171" s="574"/>
      <c r="S171" s="574"/>
      <c r="T171" s="574"/>
      <c r="U171" s="50"/>
      <c r="V171" s="50"/>
      <c r="W171" s="50"/>
      <c r="Y171" s="38"/>
    </row>
    <row r="172" spans="7:25" x14ac:dyDescent="0.3">
      <c r="G172" s="574"/>
      <c r="H172" s="574"/>
      <c r="I172" s="574"/>
      <c r="J172" s="574"/>
      <c r="K172" s="574"/>
      <c r="L172" s="574"/>
      <c r="M172" s="574"/>
      <c r="N172" s="574"/>
      <c r="O172" s="574"/>
      <c r="P172" s="574"/>
      <c r="Q172" s="574"/>
      <c r="R172" s="574"/>
      <c r="S172" s="574"/>
      <c r="T172" s="574"/>
      <c r="U172" s="50"/>
      <c r="V172" s="50"/>
      <c r="W172" s="50"/>
      <c r="Y172" s="38"/>
    </row>
    <row r="173" spans="7:25" x14ac:dyDescent="0.3">
      <c r="G173" s="574"/>
      <c r="H173" s="574"/>
      <c r="I173" s="574"/>
      <c r="J173" s="574"/>
      <c r="K173" s="574"/>
      <c r="L173" s="574"/>
      <c r="M173" s="574"/>
      <c r="N173" s="574"/>
      <c r="O173" s="574"/>
      <c r="P173" s="574"/>
      <c r="Q173" s="574"/>
      <c r="R173" s="574"/>
      <c r="S173" s="574"/>
      <c r="T173" s="574"/>
      <c r="U173" s="50"/>
      <c r="V173" s="50"/>
      <c r="W173" s="50"/>
      <c r="Y173" s="38"/>
    </row>
    <row r="174" spans="7:25" x14ac:dyDescent="0.3">
      <c r="G174" s="574"/>
      <c r="H174" s="574"/>
      <c r="I174" s="574"/>
      <c r="J174" s="574"/>
      <c r="K174" s="574"/>
      <c r="L174" s="574"/>
      <c r="M174" s="574"/>
      <c r="N174" s="574"/>
      <c r="O174" s="574"/>
      <c r="P174" s="574"/>
      <c r="Q174" s="574"/>
      <c r="R174" s="574"/>
      <c r="S174" s="574"/>
      <c r="T174" s="574"/>
      <c r="U174" s="50"/>
      <c r="V174" s="50"/>
      <c r="W174" s="50"/>
      <c r="Y174" s="38"/>
    </row>
    <row r="175" spans="7:25" x14ac:dyDescent="0.3">
      <c r="G175" s="574"/>
      <c r="H175" s="574"/>
      <c r="I175" s="574"/>
      <c r="J175" s="574"/>
      <c r="K175" s="574"/>
      <c r="L175" s="574"/>
      <c r="M175" s="574"/>
      <c r="N175" s="574"/>
      <c r="O175" s="574"/>
      <c r="P175" s="574"/>
      <c r="Q175" s="574"/>
      <c r="R175" s="574"/>
      <c r="S175" s="574"/>
      <c r="T175" s="574"/>
      <c r="U175" s="50"/>
      <c r="V175" s="50"/>
      <c r="W175" s="50"/>
      <c r="Y175" s="38"/>
    </row>
    <row r="176" spans="7:25" x14ac:dyDescent="0.3">
      <c r="G176" s="574"/>
      <c r="H176" s="574"/>
      <c r="I176" s="574"/>
      <c r="J176" s="574"/>
      <c r="K176" s="574"/>
      <c r="L176" s="574"/>
      <c r="M176" s="574"/>
      <c r="N176" s="574"/>
      <c r="O176" s="574"/>
      <c r="P176" s="574"/>
      <c r="Q176" s="574"/>
      <c r="R176" s="574"/>
      <c r="S176" s="574"/>
      <c r="T176" s="574"/>
      <c r="U176" s="50"/>
      <c r="V176" s="50"/>
      <c r="W176" s="50"/>
      <c r="Y176" s="38"/>
    </row>
    <row r="177" spans="7:25" x14ac:dyDescent="0.3">
      <c r="G177" s="574"/>
      <c r="H177" s="574"/>
      <c r="I177" s="574"/>
      <c r="J177" s="574"/>
      <c r="K177" s="574"/>
      <c r="L177" s="574"/>
      <c r="M177" s="574"/>
      <c r="N177" s="574"/>
      <c r="O177" s="574"/>
      <c r="P177" s="574"/>
      <c r="Q177" s="574"/>
      <c r="R177" s="574"/>
      <c r="S177" s="574"/>
      <c r="T177" s="574"/>
      <c r="U177" s="50"/>
      <c r="V177" s="50"/>
      <c r="W177" s="50"/>
      <c r="Y177" s="38"/>
    </row>
    <row r="178" spans="7:25" x14ac:dyDescent="0.3">
      <c r="G178" s="574"/>
      <c r="H178" s="574"/>
      <c r="I178" s="574"/>
      <c r="J178" s="574"/>
      <c r="K178" s="574"/>
      <c r="L178" s="574"/>
      <c r="M178" s="574"/>
      <c r="N178" s="574"/>
      <c r="O178" s="574"/>
      <c r="P178" s="574"/>
      <c r="Q178" s="574"/>
      <c r="R178" s="574"/>
      <c r="S178" s="574"/>
      <c r="T178" s="574"/>
      <c r="U178" s="50"/>
      <c r="V178" s="50"/>
      <c r="W178" s="50"/>
      <c r="Y178" s="38"/>
    </row>
    <row r="179" spans="7:25" x14ac:dyDescent="0.3">
      <c r="G179" s="574"/>
      <c r="H179" s="574"/>
      <c r="I179" s="574"/>
      <c r="J179" s="574"/>
      <c r="K179" s="574"/>
      <c r="L179" s="574"/>
      <c r="M179" s="574"/>
      <c r="N179" s="574"/>
      <c r="O179" s="574"/>
      <c r="P179" s="574"/>
      <c r="Q179" s="574"/>
      <c r="R179" s="574"/>
      <c r="S179" s="574"/>
      <c r="T179" s="574"/>
      <c r="U179" s="50"/>
      <c r="V179" s="50"/>
      <c r="W179" s="50"/>
      <c r="Y179" s="38"/>
    </row>
    <row r="180" spans="7:25" x14ac:dyDescent="0.3">
      <c r="G180" s="574"/>
      <c r="H180" s="574"/>
      <c r="I180" s="574"/>
      <c r="J180" s="574"/>
      <c r="K180" s="574"/>
      <c r="L180" s="574"/>
      <c r="M180" s="574"/>
      <c r="N180" s="574"/>
      <c r="O180" s="574"/>
      <c r="P180" s="574"/>
      <c r="Q180" s="574"/>
      <c r="R180" s="574"/>
      <c r="S180" s="574"/>
      <c r="T180" s="574"/>
      <c r="U180" s="50"/>
      <c r="V180" s="50"/>
      <c r="W180" s="50"/>
      <c r="Y180" s="38"/>
    </row>
    <row r="181" spans="7:25" x14ac:dyDescent="0.3">
      <c r="G181" s="574"/>
      <c r="H181" s="574"/>
      <c r="I181" s="574"/>
      <c r="J181" s="574"/>
      <c r="K181" s="574"/>
      <c r="L181" s="574"/>
      <c r="M181" s="574"/>
      <c r="N181" s="574"/>
      <c r="O181" s="574"/>
      <c r="P181" s="574"/>
      <c r="Q181" s="574"/>
      <c r="R181" s="574"/>
      <c r="S181" s="574"/>
      <c r="T181" s="574"/>
      <c r="U181" s="50"/>
      <c r="V181" s="50"/>
      <c r="W181" s="50"/>
      <c r="Y181" s="38"/>
    </row>
    <row r="182" spans="7:25" x14ac:dyDescent="0.3">
      <c r="G182" s="574"/>
      <c r="H182" s="574"/>
      <c r="I182" s="574"/>
      <c r="J182" s="574"/>
      <c r="K182" s="574"/>
      <c r="L182" s="574"/>
      <c r="M182" s="574"/>
      <c r="N182" s="574"/>
      <c r="O182" s="574"/>
      <c r="P182" s="574"/>
      <c r="Q182" s="574"/>
      <c r="R182" s="574"/>
      <c r="S182" s="574"/>
      <c r="T182" s="574"/>
      <c r="U182" s="50"/>
      <c r="V182" s="50"/>
      <c r="W182" s="50"/>
      <c r="Y182" s="38"/>
    </row>
    <row r="183" spans="7:25" x14ac:dyDescent="0.3">
      <c r="G183" s="574"/>
      <c r="H183" s="574"/>
      <c r="I183" s="574"/>
      <c r="J183" s="574"/>
      <c r="K183" s="574"/>
      <c r="L183" s="574"/>
      <c r="M183" s="574"/>
      <c r="N183" s="574"/>
      <c r="O183" s="574"/>
      <c r="P183" s="574"/>
      <c r="Q183" s="574"/>
      <c r="R183" s="574"/>
      <c r="S183" s="574"/>
      <c r="T183" s="574"/>
      <c r="U183" s="50"/>
      <c r="V183" s="50"/>
      <c r="W183" s="50"/>
      <c r="Y183" s="38"/>
    </row>
    <row r="184" spans="7:25" x14ac:dyDescent="0.3">
      <c r="G184" s="574"/>
      <c r="H184" s="574"/>
      <c r="I184" s="574"/>
      <c r="J184" s="574"/>
      <c r="K184" s="574"/>
      <c r="L184" s="574"/>
      <c r="M184" s="574"/>
      <c r="N184" s="574"/>
      <c r="O184" s="574"/>
      <c r="P184" s="574"/>
      <c r="Q184" s="574"/>
      <c r="R184" s="574"/>
      <c r="S184" s="574"/>
      <c r="T184" s="574"/>
      <c r="U184" s="50"/>
      <c r="V184" s="50"/>
      <c r="W184" s="50"/>
      <c r="Y184" s="38"/>
    </row>
    <row r="185" spans="7:25" x14ac:dyDescent="0.3">
      <c r="G185" s="574"/>
      <c r="H185" s="574"/>
      <c r="I185" s="574"/>
      <c r="J185" s="574"/>
      <c r="K185" s="574"/>
      <c r="L185" s="574"/>
      <c r="M185" s="574"/>
      <c r="N185" s="574"/>
      <c r="O185" s="574"/>
      <c r="P185" s="574"/>
      <c r="Q185" s="574"/>
      <c r="R185" s="574"/>
      <c r="S185" s="574"/>
      <c r="T185" s="574"/>
      <c r="U185" s="50"/>
      <c r="V185" s="50"/>
      <c r="W185" s="50"/>
      <c r="Y185" s="38"/>
    </row>
    <row r="186" spans="7:25" x14ac:dyDescent="0.3">
      <c r="G186" s="574"/>
      <c r="H186" s="574"/>
      <c r="I186" s="574"/>
      <c r="J186" s="574"/>
      <c r="K186" s="574"/>
      <c r="L186" s="574"/>
      <c r="M186" s="574"/>
      <c r="N186" s="574"/>
      <c r="O186" s="574"/>
      <c r="P186" s="574"/>
      <c r="Q186" s="574"/>
      <c r="R186" s="574"/>
      <c r="S186" s="574"/>
      <c r="T186" s="574"/>
      <c r="U186" s="50"/>
      <c r="V186" s="50"/>
      <c r="W186" s="50"/>
      <c r="Y186" s="38"/>
    </row>
    <row r="187" spans="7:25" x14ac:dyDescent="0.3">
      <c r="G187" s="574"/>
      <c r="H187" s="574"/>
      <c r="I187" s="574"/>
      <c r="J187" s="574"/>
      <c r="K187" s="574"/>
      <c r="L187" s="574"/>
      <c r="M187" s="574"/>
      <c r="N187" s="574"/>
      <c r="O187" s="574"/>
      <c r="P187" s="574"/>
      <c r="Q187" s="574"/>
      <c r="R187" s="574"/>
      <c r="S187" s="574"/>
      <c r="T187" s="574"/>
      <c r="U187" s="50"/>
      <c r="V187" s="50"/>
      <c r="W187" s="50"/>
      <c r="Y187" s="38"/>
    </row>
    <row r="188" spans="7:25" x14ac:dyDescent="0.3">
      <c r="G188" s="574"/>
      <c r="H188" s="574"/>
      <c r="I188" s="574"/>
      <c r="J188" s="574"/>
      <c r="K188" s="574"/>
      <c r="L188" s="574"/>
      <c r="M188" s="574"/>
      <c r="N188" s="574"/>
      <c r="O188" s="574"/>
      <c r="P188" s="574"/>
      <c r="Q188" s="574"/>
      <c r="R188" s="574"/>
      <c r="S188" s="574"/>
      <c r="T188" s="574"/>
      <c r="U188" s="50"/>
      <c r="V188" s="50"/>
      <c r="W188" s="50"/>
      <c r="Y188" s="38"/>
    </row>
    <row r="189" spans="7:25" x14ac:dyDescent="0.3">
      <c r="G189" s="574"/>
      <c r="H189" s="574"/>
      <c r="I189" s="574"/>
      <c r="J189" s="574"/>
      <c r="K189" s="574"/>
      <c r="L189" s="574"/>
      <c r="M189" s="574"/>
      <c r="N189" s="574"/>
      <c r="O189" s="574"/>
      <c r="P189" s="574"/>
      <c r="Q189" s="574"/>
      <c r="R189" s="574"/>
      <c r="S189" s="574"/>
      <c r="T189" s="574"/>
      <c r="U189" s="50"/>
      <c r="V189" s="50"/>
      <c r="W189" s="50"/>
      <c r="Y189" s="38"/>
    </row>
    <row r="190" spans="7:25" x14ac:dyDescent="0.3">
      <c r="G190" s="574"/>
      <c r="H190" s="574"/>
      <c r="I190" s="574"/>
      <c r="J190" s="574"/>
      <c r="K190" s="574"/>
      <c r="L190" s="574"/>
      <c r="M190" s="574"/>
      <c r="N190" s="574"/>
      <c r="O190" s="574"/>
      <c r="P190" s="574"/>
      <c r="Q190" s="574"/>
      <c r="R190" s="574"/>
      <c r="S190" s="574"/>
      <c r="T190" s="574"/>
      <c r="U190" s="50"/>
      <c r="V190" s="50"/>
      <c r="W190" s="50"/>
      <c r="Y190" s="38"/>
    </row>
    <row r="191" spans="7:25" x14ac:dyDescent="0.3">
      <c r="G191" s="574"/>
      <c r="H191" s="574"/>
      <c r="I191" s="574"/>
      <c r="J191" s="574"/>
      <c r="K191" s="574"/>
      <c r="L191" s="574"/>
      <c r="M191" s="574"/>
      <c r="N191" s="574"/>
      <c r="O191" s="574"/>
      <c r="P191" s="574"/>
      <c r="Q191" s="574"/>
      <c r="R191" s="574"/>
      <c r="S191" s="574"/>
      <c r="T191" s="574"/>
      <c r="U191" s="50"/>
      <c r="V191" s="50"/>
      <c r="W191" s="50"/>
      <c r="Y191" s="38"/>
    </row>
    <row r="192" spans="7:25" x14ac:dyDescent="0.3">
      <c r="G192" s="574"/>
      <c r="H192" s="574"/>
      <c r="I192" s="574"/>
      <c r="J192" s="574"/>
      <c r="K192" s="574"/>
      <c r="L192" s="574"/>
      <c r="M192" s="574"/>
      <c r="N192" s="574"/>
      <c r="O192" s="574"/>
      <c r="P192" s="574"/>
      <c r="Q192" s="574"/>
      <c r="R192" s="574"/>
      <c r="S192" s="574"/>
      <c r="T192" s="574"/>
      <c r="U192" s="50"/>
      <c r="V192" s="50"/>
      <c r="W192" s="50"/>
      <c r="Y192" s="38"/>
    </row>
    <row r="193" spans="7:25" x14ac:dyDescent="0.3">
      <c r="G193" s="574"/>
      <c r="H193" s="574"/>
      <c r="I193" s="574"/>
      <c r="J193" s="574"/>
      <c r="K193" s="574"/>
      <c r="L193" s="574"/>
      <c r="M193" s="574"/>
      <c r="N193" s="574"/>
      <c r="O193" s="574"/>
      <c r="P193" s="574"/>
      <c r="Q193" s="574"/>
      <c r="R193" s="574"/>
      <c r="S193" s="574"/>
      <c r="T193" s="574"/>
      <c r="U193" s="50"/>
      <c r="V193" s="50"/>
      <c r="W193" s="50"/>
      <c r="Y193" s="38"/>
    </row>
    <row r="194" spans="7:25" x14ac:dyDescent="0.3">
      <c r="G194" s="574"/>
      <c r="H194" s="574"/>
      <c r="I194" s="574"/>
      <c r="J194" s="574"/>
      <c r="K194" s="574"/>
      <c r="L194" s="574"/>
      <c r="M194" s="574"/>
      <c r="N194" s="574"/>
      <c r="O194" s="574"/>
      <c r="P194" s="574"/>
      <c r="Q194" s="574"/>
      <c r="R194" s="574"/>
      <c r="S194" s="574"/>
      <c r="T194" s="574"/>
      <c r="U194" s="50"/>
      <c r="V194" s="50"/>
      <c r="W194" s="50"/>
      <c r="Y194" s="38"/>
    </row>
    <row r="195" spans="7:25" x14ac:dyDescent="0.3">
      <c r="G195" s="574"/>
      <c r="H195" s="574"/>
      <c r="I195" s="574"/>
      <c r="J195" s="574"/>
      <c r="K195" s="574"/>
      <c r="L195" s="574"/>
      <c r="M195" s="574"/>
      <c r="N195" s="574"/>
      <c r="O195" s="574"/>
      <c r="P195" s="574"/>
      <c r="Q195" s="574"/>
      <c r="R195" s="574"/>
      <c r="S195" s="574"/>
      <c r="T195" s="574"/>
      <c r="U195" s="50"/>
      <c r="V195" s="50"/>
      <c r="W195" s="50"/>
      <c r="Y195" s="38"/>
    </row>
    <row r="196" spans="7:25" x14ac:dyDescent="0.3">
      <c r="G196" s="574"/>
      <c r="H196" s="574"/>
      <c r="I196" s="574"/>
      <c r="J196" s="574"/>
      <c r="K196" s="574"/>
      <c r="L196" s="574"/>
      <c r="M196" s="574"/>
      <c r="N196" s="574"/>
      <c r="O196" s="574"/>
      <c r="P196" s="574"/>
      <c r="Q196" s="574"/>
      <c r="R196" s="574"/>
      <c r="S196" s="574"/>
      <c r="T196" s="574"/>
      <c r="U196" s="50"/>
      <c r="V196" s="50"/>
      <c r="W196" s="50"/>
      <c r="Y196" s="38"/>
    </row>
    <row r="197" spans="7:25" x14ac:dyDescent="0.3">
      <c r="G197" s="574"/>
      <c r="H197" s="574"/>
      <c r="I197" s="574"/>
      <c r="J197" s="574"/>
      <c r="K197" s="574"/>
      <c r="L197" s="574"/>
      <c r="M197" s="574"/>
      <c r="N197" s="574"/>
      <c r="O197" s="574"/>
      <c r="P197" s="574"/>
      <c r="Q197" s="574"/>
      <c r="R197" s="574"/>
      <c r="S197" s="574"/>
      <c r="T197" s="574"/>
      <c r="U197" s="50"/>
      <c r="V197" s="50"/>
      <c r="W197" s="50"/>
      <c r="Y197" s="38"/>
    </row>
    <row r="198" spans="7:25" x14ac:dyDescent="0.3">
      <c r="G198" s="574"/>
      <c r="H198" s="574"/>
      <c r="I198" s="574"/>
      <c r="J198" s="574"/>
      <c r="K198" s="574"/>
      <c r="L198" s="574"/>
      <c r="M198" s="574"/>
      <c r="N198" s="574"/>
      <c r="O198" s="574"/>
      <c r="P198" s="574"/>
      <c r="Q198" s="574"/>
      <c r="R198" s="574"/>
      <c r="S198" s="574"/>
      <c r="T198" s="574"/>
      <c r="U198" s="50"/>
      <c r="V198" s="50"/>
      <c r="W198" s="50"/>
      <c r="Y198" s="38"/>
    </row>
    <row r="199" spans="7:25" x14ac:dyDescent="0.3">
      <c r="G199" s="574"/>
      <c r="H199" s="574"/>
      <c r="I199" s="574"/>
      <c r="J199" s="574"/>
      <c r="K199" s="574"/>
      <c r="L199" s="574"/>
      <c r="M199" s="574"/>
      <c r="N199" s="574"/>
      <c r="O199" s="574"/>
      <c r="P199" s="574"/>
      <c r="Q199" s="574"/>
      <c r="R199" s="574"/>
      <c r="S199" s="574"/>
      <c r="T199" s="574"/>
      <c r="U199" s="50"/>
      <c r="V199" s="50"/>
      <c r="W199" s="50"/>
      <c r="Y199" s="38"/>
    </row>
    <row r="200" spans="7:25" x14ac:dyDescent="0.3">
      <c r="G200" s="574"/>
      <c r="H200" s="574"/>
      <c r="I200" s="574"/>
      <c r="J200" s="574"/>
      <c r="K200" s="574"/>
      <c r="L200" s="574"/>
      <c r="M200" s="574"/>
      <c r="N200" s="574"/>
      <c r="O200" s="574"/>
      <c r="P200" s="574"/>
      <c r="Q200" s="574"/>
      <c r="R200" s="574"/>
      <c r="S200" s="574"/>
      <c r="T200" s="574"/>
      <c r="U200" s="50"/>
      <c r="V200" s="50"/>
      <c r="W200" s="50"/>
      <c r="Y200" s="38"/>
    </row>
    <row r="201" spans="7:25" x14ac:dyDescent="0.3">
      <c r="G201" s="574"/>
      <c r="H201" s="574"/>
      <c r="I201" s="574"/>
      <c r="J201" s="574"/>
      <c r="K201" s="574"/>
      <c r="L201" s="574"/>
      <c r="M201" s="574"/>
      <c r="N201" s="574"/>
      <c r="O201" s="574"/>
      <c r="P201" s="574"/>
      <c r="Q201" s="574"/>
      <c r="R201" s="574"/>
      <c r="S201" s="574"/>
      <c r="T201" s="574"/>
      <c r="U201" s="50"/>
      <c r="V201" s="50"/>
      <c r="W201" s="50"/>
      <c r="Y201" s="38"/>
    </row>
    <row r="202" spans="7:25" x14ac:dyDescent="0.3">
      <c r="G202" s="574"/>
      <c r="H202" s="574"/>
      <c r="I202" s="574"/>
      <c r="J202" s="574"/>
      <c r="K202" s="574"/>
      <c r="L202" s="574"/>
      <c r="M202" s="574"/>
      <c r="N202" s="574"/>
      <c r="O202" s="574"/>
      <c r="P202" s="574"/>
      <c r="Q202" s="574"/>
      <c r="R202" s="574"/>
      <c r="S202" s="574"/>
      <c r="T202" s="574"/>
      <c r="U202" s="50"/>
      <c r="V202" s="50"/>
      <c r="W202" s="50"/>
      <c r="Y202" s="38"/>
    </row>
    <row r="203" spans="7:25" x14ac:dyDescent="0.3">
      <c r="G203" s="574"/>
      <c r="H203" s="574"/>
      <c r="I203" s="574"/>
      <c r="J203" s="574"/>
      <c r="K203" s="574"/>
      <c r="L203" s="574"/>
      <c r="M203" s="574"/>
      <c r="N203" s="574"/>
      <c r="O203" s="574"/>
      <c r="P203" s="574"/>
      <c r="Q203" s="574"/>
      <c r="R203" s="574"/>
      <c r="S203" s="574"/>
      <c r="T203" s="574"/>
      <c r="U203" s="50"/>
      <c r="V203" s="50"/>
      <c r="W203" s="50"/>
      <c r="Y203" s="38"/>
    </row>
    <row r="204" spans="7:25" x14ac:dyDescent="0.3">
      <c r="G204" s="574"/>
      <c r="H204" s="574"/>
      <c r="I204" s="50"/>
      <c r="J204" s="50"/>
      <c r="K204" s="50"/>
      <c r="L204" s="50"/>
      <c r="M204" s="50"/>
      <c r="N204" s="50"/>
      <c r="O204" s="50"/>
      <c r="P204" s="50"/>
      <c r="Q204" s="50"/>
      <c r="R204" s="50"/>
      <c r="S204" s="50"/>
      <c r="T204" s="50"/>
      <c r="U204" s="50"/>
      <c r="V204" s="50"/>
      <c r="W204" s="50"/>
    </row>
    <row r="205" spans="7:25" x14ac:dyDescent="0.3">
      <c r="G205" s="574"/>
      <c r="H205" s="50"/>
      <c r="I205" s="50"/>
      <c r="J205" s="50"/>
      <c r="K205" s="50"/>
      <c r="L205" s="50"/>
      <c r="M205" s="50"/>
      <c r="N205" s="50"/>
      <c r="O205" s="50"/>
      <c r="P205" s="50"/>
      <c r="Q205" s="50"/>
      <c r="R205" s="50"/>
      <c r="S205" s="50"/>
      <c r="T205" s="50"/>
      <c r="U205" s="50"/>
      <c r="V205" s="50"/>
      <c r="W205" s="50"/>
    </row>
    <row r="206" spans="7:25" x14ac:dyDescent="0.3">
      <c r="G206" s="574"/>
      <c r="H206" s="50"/>
      <c r="I206" s="50"/>
      <c r="J206" s="50"/>
      <c r="K206" s="50"/>
      <c r="L206" s="50"/>
      <c r="M206" s="50"/>
      <c r="N206" s="50"/>
      <c r="O206" s="50"/>
      <c r="P206" s="50"/>
      <c r="Q206" s="50"/>
      <c r="R206" s="50"/>
      <c r="S206" s="50"/>
      <c r="T206" s="50"/>
      <c r="U206" s="50"/>
      <c r="V206" s="50"/>
      <c r="W206" s="50"/>
    </row>
    <row r="207" spans="7:25" x14ac:dyDescent="0.3">
      <c r="G207" s="574"/>
      <c r="H207" s="50"/>
      <c r="I207" s="50"/>
      <c r="J207" s="50"/>
      <c r="K207" s="50"/>
      <c r="L207" s="50"/>
      <c r="M207" s="50"/>
      <c r="N207" s="50"/>
      <c r="O207" s="50"/>
      <c r="P207" s="50"/>
      <c r="Q207" s="50"/>
      <c r="R207" s="50"/>
      <c r="S207" s="50"/>
      <c r="T207" s="50"/>
      <c r="U207" s="50"/>
      <c r="V207" s="50"/>
      <c r="W207" s="50"/>
    </row>
    <row r="208" spans="7:25" x14ac:dyDescent="0.3">
      <c r="G208" s="574"/>
      <c r="H208" s="50"/>
      <c r="I208" s="50"/>
      <c r="J208" s="50"/>
      <c r="K208" s="50"/>
      <c r="L208" s="50"/>
      <c r="M208" s="50"/>
      <c r="N208" s="50"/>
      <c r="O208" s="50"/>
      <c r="P208" s="50"/>
      <c r="Q208" s="50"/>
      <c r="R208" s="50"/>
      <c r="S208" s="50"/>
      <c r="T208" s="50"/>
      <c r="U208" s="50"/>
      <c r="V208" s="50"/>
      <c r="W208" s="50"/>
    </row>
    <row r="209" spans="7:23" x14ac:dyDescent="0.3">
      <c r="G209" s="574"/>
      <c r="H209" s="50"/>
      <c r="I209" s="50"/>
      <c r="J209" s="50"/>
      <c r="K209" s="50"/>
      <c r="L209" s="50"/>
      <c r="M209" s="50"/>
      <c r="N209" s="50"/>
      <c r="O209" s="50"/>
      <c r="P209" s="50"/>
      <c r="Q209" s="50"/>
      <c r="R209" s="50"/>
      <c r="S209" s="50"/>
      <c r="T209" s="50"/>
      <c r="U209" s="50"/>
      <c r="V209" s="50"/>
      <c r="W209" s="50"/>
    </row>
    <row r="210" spans="7:23" x14ac:dyDescent="0.3">
      <c r="G210" s="574"/>
      <c r="H210" s="50"/>
      <c r="I210" s="50"/>
      <c r="J210" s="50"/>
      <c r="K210" s="50"/>
      <c r="L210" s="50"/>
      <c r="M210" s="50"/>
      <c r="N210" s="50"/>
      <c r="O210" s="50"/>
      <c r="P210" s="50"/>
      <c r="Q210" s="50"/>
      <c r="R210" s="50"/>
      <c r="S210" s="50"/>
      <c r="T210" s="50"/>
      <c r="U210" s="50"/>
      <c r="V210" s="50"/>
      <c r="W210" s="50"/>
    </row>
    <row r="211" spans="7:23" x14ac:dyDescent="0.3">
      <c r="G211" s="574"/>
      <c r="H211" s="50"/>
      <c r="I211" s="50"/>
      <c r="J211" s="50"/>
      <c r="K211" s="50"/>
      <c r="L211" s="50"/>
      <c r="M211" s="50"/>
      <c r="N211" s="50"/>
      <c r="O211" s="50"/>
      <c r="P211" s="50"/>
      <c r="Q211" s="50"/>
      <c r="R211" s="50"/>
      <c r="S211" s="50"/>
      <c r="T211" s="50"/>
      <c r="U211" s="50"/>
      <c r="V211" s="50"/>
      <c r="W211" s="50"/>
    </row>
    <row r="212" spans="7:23" x14ac:dyDescent="0.3">
      <c r="G212" s="574"/>
      <c r="H212" s="50"/>
      <c r="I212" s="50"/>
      <c r="J212" s="50"/>
      <c r="K212" s="50"/>
      <c r="L212" s="50"/>
      <c r="M212" s="50"/>
      <c r="N212" s="50"/>
      <c r="O212" s="50"/>
      <c r="P212" s="50"/>
      <c r="Q212" s="50"/>
      <c r="R212" s="50"/>
      <c r="S212" s="50"/>
      <c r="T212" s="50"/>
      <c r="U212" s="50"/>
      <c r="V212" s="50"/>
      <c r="W212" s="50"/>
    </row>
    <row r="213" spans="7:23" x14ac:dyDescent="0.3">
      <c r="G213" s="574"/>
      <c r="H213" s="50"/>
      <c r="I213" s="50"/>
      <c r="J213" s="50"/>
      <c r="K213" s="50"/>
      <c r="L213" s="50"/>
      <c r="M213" s="50"/>
      <c r="N213" s="50"/>
      <c r="O213" s="50"/>
      <c r="P213" s="50"/>
      <c r="Q213" s="50"/>
      <c r="R213" s="50"/>
      <c r="S213" s="50"/>
      <c r="T213" s="50"/>
      <c r="U213" s="50"/>
      <c r="V213" s="50"/>
      <c r="W213" s="50"/>
    </row>
    <row r="214" spans="7:23" x14ac:dyDescent="0.3">
      <c r="G214" s="574"/>
      <c r="H214" s="50"/>
      <c r="I214" s="50"/>
      <c r="J214" s="50"/>
      <c r="K214" s="50"/>
      <c r="L214" s="50"/>
      <c r="M214" s="50"/>
      <c r="N214" s="50"/>
      <c r="O214" s="50"/>
      <c r="P214" s="50"/>
      <c r="Q214" s="50"/>
      <c r="R214" s="50"/>
      <c r="S214" s="50"/>
      <c r="T214" s="50"/>
      <c r="U214" s="50"/>
      <c r="V214" s="50"/>
      <c r="W214" s="50"/>
    </row>
    <row r="215" spans="7:23" x14ac:dyDescent="0.3">
      <c r="G215" s="574"/>
      <c r="H215" s="50"/>
      <c r="I215" s="50"/>
      <c r="J215" s="50"/>
      <c r="K215" s="50"/>
      <c r="L215" s="50"/>
      <c r="M215" s="50"/>
      <c r="N215" s="50"/>
      <c r="O215" s="50"/>
      <c r="P215" s="50"/>
      <c r="Q215" s="50"/>
      <c r="R215" s="50"/>
      <c r="S215" s="50"/>
      <c r="T215" s="50"/>
      <c r="U215" s="50"/>
      <c r="V215" s="50"/>
      <c r="W215" s="50"/>
    </row>
    <row r="216" spans="7:23" x14ac:dyDescent="0.3">
      <c r="G216" s="574"/>
      <c r="H216" s="50"/>
      <c r="I216" s="50"/>
      <c r="J216" s="50"/>
      <c r="K216" s="50"/>
      <c r="L216" s="50"/>
      <c r="M216" s="50"/>
      <c r="N216" s="50"/>
      <c r="O216" s="50"/>
      <c r="P216" s="50"/>
      <c r="Q216" s="50"/>
      <c r="R216" s="50"/>
      <c r="S216" s="50"/>
      <c r="T216" s="50"/>
      <c r="U216" s="50"/>
      <c r="V216" s="50"/>
      <c r="W216" s="50"/>
    </row>
    <row r="217" spans="7:23" x14ac:dyDescent="0.3">
      <c r="G217" s="574"/>
      <c r="H217" s="50"/>
      <c r="I217" s="50"/>
      <c r="J217" s="50"/>
      <c r="K217" s="50"/>
      <c r="L217" s="50"/>
      <c r="M217" s="50"/>
      <c r="N217" s="50"/>
      <c r="O217" s="50"/>
      <c r="P217" s="50"/>
      <c r="Q217" s="50"/>
      <c r="R217" s="50"/>
      <c r="S217" s="50"/>
      <c r="T217" s="50"/>
      <c r="U217" s="50"/>
      <c r="V217" s="50"/>
      <c r="W217" s="50"/>
    </row>
    <row r="218" spans="7:23" x14ac:dyDescent="0.3">
      <c r="G218" s="574"/>
      <c r="H218" s="50"/>
      <c r="I218" s="50"/>
      <c r="J218" s="50"/>
      <c r="K218" s="50"/>
      <c r="L218" s="50"/>
      <c r="M218" s="50"/>
      <c r="N218" s="50"/>
      <c r="O218" s="50"/>
      <c r="P218" s="50"/>
      <c r="Q218" s="50"/>
      <c r="R218" s="50"/>
      <c r="S218" s="50"/>
      <c r="T218" s="50"/>
      <c r="U218" s="50"/>
      <c r="V218" s="50"/>
      <c r="W218" s="50"/>
    </row>
    <row r="219" spans="7:23" x14ac:dyDescent="0.3">
      <c r="G219" s="574"/>
      <c r="H219" s="50"/>
      <c r="I219" s="50"/>
      <c r="J219" s="50"/>
      <c r="K219" s="50"/>
      <c r="L219" s="50"/>
      <c r="M219" s="50"/>
      <c r="N219" s="50"/>
      <c r="O219" s="50"/>
      <c r="P219" s="50"/>
      <c r="Q219" s="50"/>
      <c r="R219" s="50"/>
      <c r="S219" s="50"/>
      <c r="T219" s="50"/>
      <c r="U219" s="50"/>
      <c r="V219" s="50"/>
      <c r="W219" s="50"/>
    </row>
    <row r="220" spans="7:23" x14ac:dyDescent="0.3">
      <c r="G220" s="574"/>
      <c r="H220" s="50"/>
      <c r="I220" s="50"/>
      <c r="J220" s="50"/>
      <c r="K220" s="50"/>
      <c r="L220" s="50"/>
      <c r="M220" s="50"/>
      <c r="N220" s="50"/>
      <c r="O220" s="50"/>
      <c r="P220" s="50"/>
      <c r="Q220" s="50"/>
      <c r="R220" s="50"/>
      <c r="S220" s="50"/>
      <c r="T220" s="50"/>
      <c r="U220" s="50"/>
      <c r="V220" s="50"/>
      <c r="W220" s="50"/>
    </row>
    <row r="221" spans="7:23" x14ac:dyDescent="0.3">
      <c r="G221" s="574"/>
      <c r="H221" s="50"/>
      <c r="I221" s="50"/>
      <c r="J221" s="50"/>
      <c r="K221" s="50"/>
      <c r="L221" s="50"/>
      <c r="M221" s="50"/>
      <c r="N221" s="50"/>
      <c r="O221" s="50"/>
      <c r="P221" s="50"/>
      <c r="Q221" s="50"/>
      <c r="R221" s="50"/>
      <c r="S221" s="50"/>
      <c r="T221" s="50"/>
      <c r="U221" s="50"/>
      <c r="V221" s="50"/>
      <c r="W221" s="50"/>
    </row>
    <row r="222" spans="7:23" x14ac:dyDescent="0.3">
      <c r="G222" s="574"/>
      <c r="H222" s="50"/>
      <c r="I222" s="50"/>
      <c r="J222" s="50"/>
      <c r="K222" s="50"/>
      <c r="L222" s="50"/>
      <c r="M222" s="50"/>
      <c r="N222" s="50"/>
      <c r="O222" s="50"/>
      <c r="P222" s="50"/>
      <c r="Q222" s="50"/>
      <c r="R222" s="50"/>
      <c r="S222" s="50"/>
      <c r="T222" s="50"/>
      <c r="U222" s="50"/>
      <c r="V222" s="50"/>
      <c r="W222" s="50"/>
    </row>
    <row r="223" spans="7:23" x14ac:dyDescent="0.3">
      <c r="G223" s="50"/>
      <c r="H223" s="50"/>
      <c r="I223" s="50"/>
      <c r="J223" s="50"/>
      <c r="K223" s="50"/>
      <c r="L223" s="50"/>
      <c r="M223" s="50"/>
      <c r="N223" s="50"/>
      <c r="O223" s="50"/>
      <c r="P223" s="50"/>
      <c r="Q223" s="50"/>
      <c r="R223" s="50"/>
      <c r="S223" s="50"/>
      <c r="T223" s="50"/>
      <c r="U223" s="50"/>
      <c r="V223" s="50"/>
      <c r="W223" s="50"/>
    </row>
    <row r="224" spans="7:23" x14ac:dyDescent="0.3">
      <c r="G224" s="50"/>
      <c r="H224" s="50"/>
      <c r="I224" s="50"/>
      <c r="J224" s="50"/>
      <c r="K224" s="50"/>
      <c r="L224" s="50"/>
      <c r="M224" s="50"/>
      <c r="N224" s="50"/>
      <c r="O224" s="50"/>
      <c r="P224" s="50"/>
      <c r="Q224" s="50"/>
      <c r="R224" s="50"/>
      <c r="S224" s="50"/>
      <c r="T224" s="50"/>
      <c r="U224" s="50"/>
      <c r="V224" s="50"/>
      <c r="W224" s="50"/>
    </row>
    <row r="225" spans="7:23" x14ac:dyDescent="0.3">
      <c r="G225" s="50"/>
      <c r="H225" s="50"/>
      <c r="I225" s="50"/>
      <c r="J225" s="50"/>
      <c r="K225" s="50"/>
      <c r="L225" s="50"/>
      <c r="M225" s="50"/>
      <c r="N225" s="50"/>
      <c r="O225" s="50"/>
      <c r="P225" s="50"/>
      <c r="Q225" s="50"/>
      <c r="R225" s="50"/>
      <c r="S225" s="50"/>
      <c r="T225" s="50"/>
      <c r="U225" s="50"/>
      <c r="V225" s="50"/>
      <c r="W225" s="50"/>
    </row>
    <row r="226" spans="7:23" x14ac:dyDescent="0.3">
      <c r="G226" s="50"/>
      <c r="H226" s="50"/>
      <c r="I226" s="50"/>
      <c r="J226" s="50"/>
      <c r="K226" s="50"/>
      <c r="L226" s="50"/>
      <c r="M226" s="50"/>
      <c r="N226" s="50"/>
      <c r="O226" s="50"/>
      <c r="P226" s="50"/>
      <c r="Q226" s="50"/>
      <c r="R226" s="50"/>
      <c r="S226" s="50"/>
      <c r="T226" s="50"/>
      <c r="U226" s="50"/>
      <c r="V226" s="50"/>
      <c r="W226" s="50"/>
    </row>
    <row r="227" spans="7:23" x14ac:dyDescent="0.3">
      <c r="G227" s="50"/>
      <c r="H227" s="50"/>
      <c r="I227" s="50"/>
      <c r="J227" s="50"/>
      <c r="K227" s="50"/>
      <c r="L227" s="50"/>
      <c r="M227" s="50"/>
      <c r="N227" s="50"/>
      <c r="O227" s="50"/>
      <c r="P227" s="50"/>
      <c r="Q227" s="50"/>
      <c r="R227" s="50"/>
      <c r="S227" s="50"/>
      <c r="T227" s="50"/>
      <c r="U227" s="50"/>
      <c r="V227" s="50"/>
      <c r="W227" s="50"/>
    </row>
    <row r="228" spans="7:23" x14ac:dyDescent="0.3">
      <c r="G228" s="50"/>
      <c r="H228" s="50"/>
      <c r="I228" s="50"/>
      <c r="J228" s="50"/>
      <c r="K228" s="50"/>
      <c r="L228" s="50"/>
      <c r="M228" s="50"/>
      <c r="N228" s="50"/>
      <c r="O228" s="50"/>
      <c r="P228" s="50"/>
      <c r="Q228" s="50"/>
      <c r="R228" s="50"/>
      <c r="S228" s="50"/>
      <c r="T228" s="50"/>
      <c r="U228" s="50"/>
      <c r="V228" s="50"/>
      <c r="W228" s="50"/>
    </row>
    <row r="229" spans="7:23" x14ac:dyDescent="0.3">
      <c r="G229" s="50"/>
      <c r="H229" s="50"/>
      <c r="I229" s="50"/>
      <c r="J229" s="50"/>
      <c r="K229" s="50"/>
      <c r="L229" s="50"/>
      <c r="M229" s="50"/>
      <c r="N229" s="50"/>
      <c r="O229" s="50"/>
      <c r="P229" s="50"/>
      <c r="Q229" s="50"/>
      <c r="R229" s="50"/>
      <c r="S229" s="50"/>
      <c r="T229" s="50"/>
      <c r="U229" s="50"/>
      <c r="V229" s="50"/>
      <c r="W229" s="50"/>
    </row>
    <row r="230" spans="7:23" x14ac:dyDescent="0.3">
      <c r="G230" s="50"/>
      <c r="H230" s="50"/>
      <c r="I230" s="50"/>
      <c r="J230" s="50"/>
      <c r="K230" s="50"/>
      <c r="L230" s="50"/>
      <c r="M230" s="50"/>
      <c r="N230" s="50"/>
      <c r="O230" s="50"/>
      <c r="P230" s="50"/>
      <c r="Q230" s="50"/>
      <c r="R230" s="50"/>
      <c r="S230" s="50"/>
      <c r="T230" s="50"/>
      <c r="U230" s="50"/>
      <c r="V230" s="50"/>
      <c r="W230" s="50"/>
    </row>
    <row r="231" spans="7:23" x14ac:dyDescent="0.3">
      <c r="G231" s="50"/>
      <c r="H231" s="50"/>
      <c r="I231" s="50"/>
      <c r="J231" s="50"/>
      <c r="K231" s="50"/>
      <c r="L231" s="50"/>
      <c r="M231" s="50"/>
      <c r="N231" s="50"/>
      <c r="O231" s="50"/>
      <c r="P231" s="50"/>
      <c r="Q231" s="50"/>
      <c r="R231" s="50"/>
      <c r="S231" s="50"/>
      <c r="T231" s="50"/>
      <c r="U231" s="50"/>
      <c r="V231" s="50"/>
      <c r="W231" s="50"/>
    </row>
    <row r="232" spans="7:23" x14ac:dyDescent="0.3">
      <c r="G232" s="50"/>
      <c r="H232" s="50"/>
      <c r="I232" s="50"/>
      <c r="J232" s="50"/>
      <c r="K232" s="50"/>
      <c r="L232" s="50"/>
      <c r="M232" s="50"/>
      <c r="N232" s="50"/>
      <c r="O232" s="50"/>
      <c r="P232" s="50"/>
      <c r="Q232" s="50"/>
      <c r="R232" s="50"/>
      <c r="S232" s="50"/>
      <c r="T232" s="50"/>
      <c r="U232" s="50"/>
      <c r="V232" s="50"/>
      <c r="W232" s="50"/>
    </row>
    <row r="233" spans="7:23" x14ac:dyDescent="0.3">
      <c r="G233" s="50"/>
      <c r="H233" s="50"/>
      <c r="I233" s="50"/>
      <c r="J233" s="50"/>
      <c r="K233" s="50"/>
      <c r="L233" s="50"/>
      <c r="M233" s="50"/>
      <c r="N233" s="50"/>
      <c r="O233" s="50"/>
      <c r="P233" s="50"/>
      <c r="Q233" s="50"/>
      <c r="R233" s="50"/>
      <c r="S233" s="50"/>
      <c r="T233" s="50"/>
      <c r="U233" s="50"/>
      <c r="V233" s="50"/>
      <c r="W233" s="50"/>
    </row>
    <row r="234" spans="7:23" x14ac:dyDescent="0.3">
      <c r="G234" s="50"/>
      <c r="H234" s="50"/>
      <c r="I234" s="50"/>
      <c r="J234" s="50"/>
      <c r="K234" s="50"/>
      <c r="L234" s="50"/>
      <c r="M234" s="50"/>
      <c r="N234" s="50"/>
      <c r="O234" s="50"/>
      <c r="P234" s="50"/>
      <c r="Q234" s="50"/>
      <c r="R234" s="50"/>
      <c r="S234" s="50"/>
      <c r="T234" s="50"/>
      <c r="U234" s="50"/>
      <c r="V234" s="50"/>
      <c r="W234" s="50"/>
    </row>
    <row r="235" spans="7:23" x14ac:dyDescent="0.3">
      <c r="G235" s="50"/>
      <c r="H235" s="50"/>
      <c r="I235" s="50"/>
      <c r="J235" s="50"/>
      <c r="K235" s="50"/>
      <c r="L235" s="50"/>
      <c r="M235" s="50"/>
      <c r="N235" s="50"/>
      <c r="O235" s="50"/>
      <c r="P235" s="50"/>
      <c r="Q235" s="50"/>
      <c r="R235" s="50"/>
      <c r="S235" s="50"/>
      <c r="T235" s="50"/>
      <c r="U235" s="50"/>
      <c r="V235" s="50"/>
      <c r="W235" s="50"/>
    </row>
    <row r="236" spans="7:23" x14ac:dyDescent="0.3">
      <c r="G236" s="574"/>
      <c r="H236" s="50"/>
      <c r="I236" s="50"/>
      <c r="J236" s="50"/>
      <c r="K236" s="50"/>
      <c r="L236" s="50"/>
      <c r="M236" s="50"/>
      <c r="N236" s="50"/>
      <c r="O236" s="50"/>
      <c r="P236" s="50"/>
      <c r="Q236" s="50"/>
      <c r="R236" s="50"/>
      <c r="S236" s="50"/>
      <c r="T236" s="50"/>
      <c r="U236" s="50"/>
      <c r="V236" s="50"/>
      <c r="W236" s="50"/>
    </row>
    <row r="237" spans="7:23" x14ac:dyDescent="0.3">
      <c r="G237" s="574"/>
      <c r="H237" s="50"/>
      <c r="I237" s="50"/>
      <c r="J237" s="50"/>
      <c r="K237" s="50"/>
      <c r="L237" s="50"/>
      <c r="M237" s="50"/>
      <c r="N237" s="50"/>
      <c r="O237" s="50"/>
      <c r="P237" s="50"/>
      <c r="Q237" s="50"/>
      <c r="R237" s="50"/>
      <c r="S237" s="50"/>
      <c r="T237" s="50"/>
      <c r="U237" s="50"/>
      <c r="V237" s="50"/>
      <c r="W237" s="50"/>
    </row>
    <row r="238" spans="7:23" x14ac:dyDescent="0.3">
      <c r="G238" s="574"/>
      <c r="H238" s="50"/>
      <c r="I238" s="50"/>
      <c r="J238" s="50"/>
      <c r="K238" s="50"/>
      <c r="L238" s="50"/>
      <c r="M238" s="50"/>
      <c r="N238" s="50"/>
      <c r="O238" s="50"/>
      <c r="P238" s="50"/>
      <c r="Q238" s="50"/>
      <c r="R238" s="50"/>
      <c r="S238" s="50"/>
      <c r="T238" s="50"/>
      <c r="U238" s="50"/>
      <c r="V238" s="50"/>
      <c r="W238" s="50"/>
    </row>
    <row r="239" spans="7:23" x14ac:dyDescent="0.3">
      <c r="G239" s="574"/>
      <c r="H239" s="50"/>
      <c r="I239" s="50"/>
      <c r="J239" s="50"/>
      <c r="K239" s="50"/>
      <c r="L239" s="50"/>
      <c r="M239" s="50"/>
      <c r="N239" s="50"/>
      <c r="O239" s="50"/>
      <c r="P239" s="50"/>
      <c r="Q239" s="50"/>
      <c r="R239" s="50"/>
      <c r="S239" s="50"/>
      <c r="T239" s="50"/>
      <c r="U239" s="50"/>
      <c r="V239" s="50"/>
      <c r="W239" s="50"/>
    </row>
    <row r="240" spans="7:23" x14ac:dyDescent="0.3">
      <c r="G240" s="574"/>
      <c r="H240" s="50"/>
      <c r="I240" s="50"/>
      <c r="J240" s="50"/>
      <c r="K240" s="50"/>
      <c r="L240" s="50"/>
      <c r="M240" s="50"/>
      <c r="N240" s="50"/>
      <c r="O240" s="50"/>
      <c r="P240" s="50"/>
      <c r="Q240" s="50"/>
      <c r="R240" s="50"/>
      <c r="S240" s="50"/>
      <c r="T240" s="50"/>
      <c r="U240" s="50"/>
      <c r="V240" s="50"/>
      <c r="W240" s="50"/>
    </row>
    <row r="241" spans="7:23" x14ac:dyDescent="0.3">
      <c r="G241" s="574"/>
      <c r="H241" s="50"/>
      <c r="I241" s="50"/>
      <c r="J241" s="50"/>
      <c r="K241" s="50"/>
      <c r="L241" s="50"/>
      <c r="M241" s="50"/>
      <c r="N241" s="50"/>
      <c r="O241" s="50"/>
      <c r="P241" s="50"/>
      <c r="Q241" s="50"/>
      <c r="R241" s="50"/>
      <c r="S241" s="50"/>
      <c r="T241" s="50"/>
      <c r="U241" s="50"/>
      <c r="V241" s="50"/>
      <c r="W241" s="50"/>
    </row>
    <row r="242" spans="7:23" x14ac:dyDescent="0.3">
      <c r="G242" s="574"/>
      <c r="H242" s="50"/>
      <c r="I242" s="50"/>
      <c r="J242" s="50"/>
      <c r="K242" s="50"/>
      <c r="L242" s="50"/>
      <c r="M242" s="50"/>
      <c r="N242" s="50"/>
      <c r="O242" s="50"/>
      <c r="P242" s="50"/>
      <c r="Q242" s="50"/>
      <c r="R242" s="50"/>
      <c r="S242" s="50"/>
      <c r="T242" s="50"/>
      <c r="U242" s="50"/>
      <c r="V242" s="50"/>
      <c r="W242" s="50"/>
    </row>
    <row r="243" spans="7:23" x14ac:dyDescent="0.3">
      <c r="G243" s="50"/>
      <c r="H243" s="50"/>
      <c r="I243" s="50"/>
      <c r="J243" s="50"/>
      <c r="K243" s="50"/>
      <c r="L243" s="50"/>
      <c r="M243" s="50"/>
      <c r="N243" s="50"/>
      <c r="O243" s="50"/>
      <c r="P243" s="50"/>
      <c r="Q243" s="50"/>
      <c r="R243" s="50"/>
      <c r="S243" s="50"/>
      <c r="T243" s="50"/>
      <c r="U243" s="50"/>
      <c r="V243" s="50"/>
      <c r="W243" s="50"/>
    </row>
    <row r="244" spans="7:23" x14ac:dyDescent="0.3">
      <c r="G244" s="50"/>
      <c r="H244" s="50"/>
      <c r="I244" s="50"/>
      <c r="J244" s="50"/>
      <c r="K244" s="50"/>
      <c r="L244" s="50"/>
      <c r="M244" s="50"/>
      <c r="N244" s="50"/>
      <c r="O244" s="50"/>
      <c r="P244" s="50"/>
      <c r="Q244" s="50"/>
      <c r="R244" s="50"/>
      <c r="S244" s="50"/>
      <c r="T244" s="50"/>
      <c r="U244" s="50"/>
      <c r="V244" s="50"/>
      <c r="W244" s="50"/>
    </row>
    <row r="245" spans="7:23" x14ac:dyDescent="0.3">
      <c r="G245" s="50"/>
      <c r="H245" s="50"/>
      <c r="I245" s="50"/>
      <c r="J245" s="50"/>
      <c r="K245" s="50"/>
      <c r="L245" s="50"/>
      <c r="M245" s="50"/>
      <c r="N245" s="50"/>
      <c r="O245" s="50"/>
      <c r="P245" s="50"/>
      <c r="Q245" s="50"/>
      <c r="R245" s="50"/>
      <c r="S245" s="50"/>
      <c r="T245" s="50"/>
      <c r="U245" s="50"/>
      <c r="V245" s="50"/>
      <c r="W245" s="50"/>
    </row>
    <row r="246" spans="7:23" x14ac:dyDescent="0.3">
      <c r="G246" s="50"/>
      <c r="H246" s="50"/>
      <c r="I246" s="50"/>
      <c r="J246" s="50"/>
      <c r="K246" s="50"/>
      <c r="L246" s="50"/>
      <c r="M246" s="50"/>
      <c r="N246" s="50"/>
      <c r="O246" s="50"/>
      <c r="P246" s="50"/>
      <c r="Q246" s="50"/>
      <c r="R246" s="50"/>
      <c r="S246" s="50"/>
      <c r="T246" s="50"/>
      <c r="U246" s="50"/>
      <c r="V246" s="50"/>
      <c r="W246" s="50"/>
    </row>
    <row r="247" spans="7:23" x14ac:dyDescent="0.3">
      <c r="G247" s="50"/>
      <c r="H247" s="50"/>
      <c r="I247" s="50"/>
      <c r="J247" s="50"/>
      <c r="K247" s="50"/>
      <c r="L247" s="50"/>
      <c r="M247" s="50"/>
      <c r="N247" s="50"/>
      <c r="O247" s="50"/>
      <c r="P247" s="50"/>
      <c r="Q247" s="50"/>
      <c r="R247" s="50"/>
      <c r="S247" s="50"/>
      <c r="T247" s="50"/>
      <c r="U247" s="50"/>
      <c r="V247" s="50"/>
      <c r="W247" s="50"/>
    </row>
    <row r="248" spans="7:23" x14ac:dyDescent="0.3">
      <c r="G248" s="50"/>
      <c r="H248" s="50"/>
      <c r="I248" s="50"/>
      <c r="J248" s="50"/>
      <c r="K248" s="50"/>
      <c r="L248" s="50"/>
      <c r="M248" s="50"/>
      <c r="N248" s="50"/>
      <c r="O248" s="50"/>
      <c r="P248" s="50"/>
      <c r="Q248" s="50"/>
      <c r="R248" s="50"/>
      <c r="S248" s="50"/>
      <c r="T248" s="50"/>
      <c r="U248" s="50"/>
      <c r="V248" s="50"/>
      <c r="W248" s="50"/>
    </row>
    <row r="249" spans="7:23" x14ac:dyDescent="0.3">
      <c r="G249" s="50"/>
      <c r="H249" s="50"/>
      <c r="I249" s="50"/>
      <c r="J249" s="50"/>
      <c r="K249" s="50"/>
      <c r="L249" s="50"/>
      <c r="M249" s="50"/>
      <c r="N249" s="50"/>
      <c r="O249" s="50"/>
      <c r="P249" s="50"/>
      <c r="Q249" s="50"/>
      <c r="R249" s="50"/>
      <c r="S249" s="50"/>
      <c r="T249" s="50"/>
      <c r="U249" s="50"/>
      <c r="V249" s="50"/>
      <c r="W249" s="50"/>
    </row>
    <row r="250" spans="7:23" x14ac:dyDescent="0.3">
      <c r="G250" s="50"/>
      <c r="H250" s="50"/>
      <c r="I250" s="50"/>
      <c r="J250" s="50"/>
      <c r="K250" s="50"/>
      <c r="L250" s="50"/>
      <c r="M250" s="50"/>
      <c r="N250" s="50"/>
      <c r="O250" s="50"/>
      <c r="P250" s="50"/>
      <c r="Q250" s="50"/>
      <c r="R250" s="50"/>
      <c r="S250" s="50"/>
      <c r="T250" s="50"/>
      <c r="U250" s="50"/>
      <c r="V250" s="50"/>
      <c r="W250" s="50"/>
    </row>
    <row r="251" spans="7:23" x14ac:dyDescent="0.3">
      <c r="G251" s="50"/>
      <c r="H251" s="50"/>
      <c r="I251" s="50"/>
      <c r="J251" s="50"/>
      <c r="K251" s="50"/>
      <c r="L251" s="50"/>
      <c r="M251" s="50"/>
      <c r="N251" s="50"/>
      <c r="O251" s="50"/>
      <c r="P251" s="50"/>
      <c r="Q251" s="50"/>
      <c r="R251" s="50"/>
      <c r="S251" s="50"/>
      <c r="T251" s="50"/>
      <c r="U251" s="50"/>
      <c r="V251" s="50"/>
      <c r="W251" s="50"/>
    </row>
    <row r="252" spans="7:23" x14ac:dyDescent="0.3">
      <c r="G252" s="50"/>
      <c r="H252" s="50"/>
      <c r="I252" s="50"/>
      <c r="J252" s="50"/>
      <c r="K252" s="50"/>
      <c r="L252" s="50"/>
      <c r="M252" s="50"/>
      <c r="N252" s="50"/>
      <c r="O252" s="50"/>
      <c r="P252" s="50"/>
      <c r="Q252" s="50"/>
      <c r="R252" s="50"/>
      <c r="S252" s="50"/>
      <c r="T252" s="50"/>
      <c r="U252" s="50"/>
      <c r="V252" s="50"/>
      <c r="W252" s="50"/>
    </row>
    <row r="253" spans="7:23" x14ac:dyDescent="0.3">
      <c r="G253" s="50"/>
      <c r="H253" s="50"/>
      <c r="I253" s="50"/>
      <c r="J253" s="50"/>
      <c r="K253" s="50"/>
      <c r="L253" s="50"/>
      <c r="M253" s="50"/>
      <c r="N253" s="50"/>
      <c r="O253" s="50"/>
      <c r="P253" s="50"/>
      <c r="Q253" s="50"/>
      <c r="R253" s="50"/>
      <c r="S253" s="50"/>
      <c r="T253" s="50"/>
      <c r="U253" s="50"/>
      <c r="V253" s="50"/>
      <c r="W253" s="50"/>
    </row>
    <row r="254" spans="7:23" x14ac:dyDescent="0.3">
      <c r="G254" s="50"/>
      <c r="H254" s="50"/>
      <c r="I254" s="50"/>
      <c r="J254" s="50"/>
      <c r="K254" s="50"/>
      <c r="L254" s="50"/>
      <c r="M254" s="50"/>
      <c r="N254" s="50"/>
      <c r="O254" s="50"/>
      <c r="P254" s="50"/>
      <c r="Q254" s="50"/>
      <c r="R254" s="50"/>
      <c r="S254" s="50"/>
      <c r="T254" s="50"/>
      <c r="U254" s="50"/>
      <c r="V254" s="50"/>
      <c r="W254" s="50"/>
    </row>
    <row r="255" spans="7:23" x14ac:dyDescent="0.3">
      <c r="G255" s="50"/>
      <c r="H255" s="50"/>
      <c r="I255" s="50"/>
      <c r="J255" s="50"/>
      <c r="K255" s="50"/>
      <c r="L255" s="50"/>
      <c r="M255" s="50"/>
      <c r="N255" s="50"/>
      <c r="O255" s="50"/>
      <c r="P255" s="50"/>
      <c r="Q255" s="50"/>
      <c r="R255" s="50"/>
      <c r="S255" s="50"/>
      <c r="T255" s="50"/>
      <c r="U255" s="50"/>
      <c r="V255" s="50"/>
      <c r="W255" s="50"/>
    </row>
    <row r="256" spans="7:23" x14ac:dyDescent="0.3">
      <c r="G256" s="50"/>
      <c r="H256" s="50"/>
      <c r="I256" s="50"/>
      <c r="J256" s="50"/>
      <c r="K256" s="50"/>
      <c r="L256" s="50"/>
      <c r="M256" s="50"/>
      <c r="N256" s="50"/>
      <c r="O256" s="50"/>
      <c r="P256" s="50"/>
      <c r="Q256" s="50"/>
      <c r="R256" s="50"/>
      <c r="S256" s="50"/>
      <c r="T256" s="50"/>
      <c r="U256" s="50"/>
      <c r="V256" s="50"/>
      <c r="W256" s="50"/>
    </row>
    <row r="257" spans="7:23" x14ac:dyDescent="0.3">
      <c r="G257" s="50"/>
      <c r="H257" s="50"/>
      <c r="I257" s="50"/>
      <c r="J257" s="50"/>
      <c r="K257" s="50"/>
      <c r="L257" s="50"/>
      <c r="M257" s="50"/>
      <c r="N257" s="50"/>
      <c r="O257" s="50"/>
      <c r="P257" s="50"/>
      <c r="Q257" s="50"/>
      <c r="R257" s="50"/>
      <c r="S257" s="50"/>
      <c r="T257" s="50"/>
      <c r="U257" s="50"/>
      <c r="V257" s="50"/>
      <c r="W257" s="50"/>
    </row>
    <row r="258" spans="7:23" x14ac:dyDescent="0.3">
      <c r="G258" s="50"/>
      <c r="H258" s="50"/>
      <c r="I258" s="50"/>
      <c r="J258" s="50"/>
      <c r="K258" s="50"/>
      <c r="L258" s="50"/>
      <c r="M258" s="50"/>
      <c r="N258" s="50"/>
      <c r="O258" s="50"/>
      <c r="P258" s="50"/>
      <c r="Q258" s="50"/>
      <c r="R258" s="50"/>
      <c r="S258" s="50"/>
      <c r="T258" s="50"/>
      <c r="U258" s="50"/>
      <c r="V258" s="50"/>
      <c r="W258" s="50"/>
    </row>
    <row r="259" spans="7:23" x14ac:dyDescent="0.3">
      <c r="G259" s="50"/>
      <c r="H259" s="50"/>
      <c r="I259" s="50"/>
      <c r="J259" s="50"/>
      <c r="K259" s="50"/>
      <c r="L259" s="50"/>
      <c r="M259" s="50"/>
      <c r="N259" s="50"/>
      <c r="O259" s="50"/>
      <c r="P259" s="50"/>
      <c r="Q259" s="50"/>
      <c r="R259" s="50"/>
      <c r="S259" s="50"/>
      <c r="T259" s="50"/>
      <c r="U259" s="50"/>
      <c r="V259" s="50"/>
      <c r="W259" s="50"/>
    </row>
    <row r="260" spans="7:23" x14ac:dyDescent="0.3">
      <c r="G260" s="50"/>
      <c r="H260" s="50"/>
      <c r="I260" s="50"/>
      <c r="J260" s="50"/>
      <c r="K260" s="50"/>
      <c r="L260" s="50"/>
      <c r="M260" s="50"/>
      <c r="N260" s="50"/>
      <c r="O260" s="50"/>
      <c r="P260" s="50"/>
      <c r="Q260" s="50"/>
      <c r="R260" s="50"/>
      <c r="S260" s="50"/>
      <c r="T260" s="50"/>
      <c r="U260" s="50"/>
      <c r="V260" s="50"/>
      <c r="W260" s="50"/>
    </row>
    <row r="261" spans="7:23" x14ac:dyDescent="0.3">
      <c r="G261" s="50"/>
      <c r="H261" s="50"/>
      <c r="I261" s="50"/>
      <c r="J261" s="50"/>
      <c r="K261" s="50"/>
      <c r="L261" s="50"/>
      <c r="M261" s="50"/>
      <c r="N261" s="50"/>
      <c r="O261" s="50"/>
      <c r="P261" s="50"/>
      <c r="Q261" s="50"/>
      <c r="R261" s="50"/>
      <c r="S261" s="50"/>
      <c r="T261" s="50"/>
      <c r="U261" s="50"/>
      <c r="V261" s="50"/>
      <c r="W261" s="50"/>
    </row>
    <row r="262" spans="7:23" x14ac:dyDescent="0.3">
      <c r="G262" s="50"/>
      <c r="H262" s="50"/>
      <c r="I262" s="50"/>
      <c r="J262" s="50"/>
      <c r="K262" s="50"/>
      <c r="L262" s="50"/>
      <c r="M262" s="50"/>
      <c r="N262" s="50"/>
      <c r="O262" s="50"/>
      <c r="P262" s="50"/>
      <c r="Q262" s="50"/>
      <c r="R262" s="50"/>
      <c r="S262" s="50"/>
      <c r="T262" s="50"/>
      <c r="U262" s="50"/>
      <c r="V262" s="50"/>
      <c r="W262" s="50"/>
    </row>
    <row r="263" spans="7:23" x14ac:dyDescent="0.3">
      <c r="G263" s="50"/>
      <c r="H263" s="50"/>
      <c r="I263" s="50"/>
      <c r="J263" s="50"/>
      <c r="K263" s="50"/>
      <c r="L263" s="50"/>
      <c r="M263" s="50"/>
      <c r="N263" s="50"/>
      <c r="O263" s="50"/>
      <c r="P263" s="50"/>
      <c r="Q263" s="50"/>
      <c r="R263" s="50"/>
      <c r="S263" s="50"/>
      <c r="T263" s="50"/>
      <c r="U263" s="50"/>
      <c r="V263" s="50"/>
      <c r="W263" s="50"/>
    </row>
    <row r="264" spans="7:23" x14ac:dyDescent="0.3">
      <c r="G264" s="50"/>
      <c r="H264" s="50"/>
      <c r="I264" s="50"/>
      <c r="J264" s="50"/>
      <c r="K264" s="50"/>
      <c r="L264" s="50"/>
      <c r="M264" s="50"/>
      <c r="N264" s="50"/>
      <c r="O264" s="50"/>
      <c r="P264" s="50"/>
      <c r="Q264" s="50"/>
      <c r="R264" s="50"/>
      <c r="S264" s="50"/>
      <c r="T264" s="50"/>
      <c r="U264" s="50"/>
      <c r="V264" s="50"/>
      <c r="W264" s="50"/>
    </row>
    <row r="265" spans="7:23" x14ac:dyDescent="0.3">
      <c r="G265" s="50"/>
      <c r="H265" s="50"/>
      <c r="I265" s="50"/>
      <c r="J265" s="50"/>
      <c r="K265" s="50"/>
      <c r="L265" s="50"/>
      <c r="M265" s="50"/>
      <c r="N265" s="50"/>
      <c r="O265" s="50"/>
      <c r="P265" s="50"/>
      <c r="Q265" s="50"/>
      <c r="R265" s="50"/>
      <c r="S265" s="50"/>
      <c r="T265" s="50"/>
      <c r="U265" s="50"/>
      <c r="V265" s="50"/>
      <c r="W265" s="50"/>
    </row>
    <row r="266" spans="7:23" x14ac:dyDescent="0.3">
      <c r="G266" s="50"/>
      <c r="H266" s="50"/>
      <c r="I266" s="50"/>
      <c r="J266" s="50"/>
      <c r="K266" s="50"/>
      <c r="L266" s="50"/>
      <c r="M266" s="50"/>
      <c r="N266" s="50"/>
      <c r="O266" s="50"/>
      <c r="P266" s="50"/>
      <c r="Q266" s="50"/>
      <c r="R266" s="50"/>
      <c r="S266" s="50"/>
      <c r="T266" s="50"/>
      <c r="U266" s="50"/>
      <c r="V266" s="50"/>
      <c r="W266" s="50"/>
    </row>
    <row r="267" spans="7:23" x14ac:dyDescent="0.3">
      <c r="G267" s="50"/>
      <c r="H267" s="50"/>
      <c r="I267" s="50"/>
      <c r="J267" s="50"/>
      <c r="K267" s="50"/>
      <c r="L267" s="50"/>
      <c r="M267" s="50"/>
      <c r="N267" s="50"/>
      <c r="O267" s="50"/>
      <c r="P267" s="50"/>
      <c r="Q267" s="50"/>
      <c r="R267" s="50"/>
      <c r="S267" s="50"/>
      <c r="T267" s="50"/>
      <c r="U267" s="50"/>
      <c r="V267" s="50"/>
      <c r="W267" s="50"/>
    </row>
    <row r="268" spans="7:23" x14ac:dyDescent="0.3">
      <c r="G268" s="50"/>
      <c r="H268" s="50"/>
      <c r="I268" s="50"/>
      <c r="J268" s="50"/>
      <c r="K268" s="50"/>
      <c r="L268" s="50"/>
      <c r="M268" s="50"/>
      <c r="N268" s="50"/>
      <c r="O268" s="50"/>
      <c r="P268" s="50"/>
      <c r="Q268" s="50"/>
      <c r="R268" s="50"/>
      <c r="S268" s="50"/>
      <c r="T268" s="50"/>
      <c r="U268" s="50"/>
      <c r="V268" s="50"/>
      <c r="W268" s="50"/>
    </row>
    <row r="269" spans="7:23" x14ac:dyDescent="0.3">
      <c r="G269" s="50"/>
      <c r="H269" s="50"/>
      <c r="I269" s="50"/>
      <c r="J269" s="50"/>
      <c r="K269" s="50"/>
      <c r="L269" s="50"/>
      <c r="M269" s="50"/>
      <c r="N269" s="50"/>
      <c r="O269" s="50"/>
      <c r="P269" s="50"/>
      <c r="Q269" s="50"/>
      <c r="R269" s="50"/>
      <c r="S269" s="50"/>
      <c r="T269" s="50"/>
      <c r="U269" s="50"/>
      <c r="V269" s="50"/>
      <c r="W269" s="50"/>
    </row>
    <row r="270" spans="7:23" x14ac:dyDescent="0.3">
      <c r="G270" s="50"/>
      <c r="H270" s="50"/>
      <c r="I270" s="50"/>
      <c r="J270" s="50"/>
      <c r="K270" s="50"/>
      <c r="L270" s="50"/>
      <c r="M270" s="50"/>
      <c r="N270" s="50"/>
      <c r="O270" s="50"/>
      <c r="P270" s="50"/>
      <c r="Q270" s="50"/>
      <c r="R270" s="50"/>
      <c r="S270" s="50"/>
      <c r="T270" s="50"/>
      <c r="U270" s="50"/>
      <c r="V270" s="50"/>
      <c r="W270" s="50"/>
    </row>
    <row r="271" spans="7:23" x14ac:dyDescent="0.3">
      <c r="G271" s="50"/>
      <c r="H271" s="50"/>
      <c r="I271" s="50"/>
      <c r="J271" s="50"/>
      <c r="K271" s="50"/>
      <c r="L271" s="50"/>
      <c r="M271" s="50"/>
      <c r="N271" s="50"/>
      <c r="O271" s="50"/>
      <c r="P271" s="50"/>
      <c r="Q271" s="50"/>
      <c r="R271" s="50"/>
      <c r="S271" s="50"/>
      <c r="T271" s="50"/>
      <c r="U271" s="50"/>
      <c r="V271" s="50"/>
      <c r="W271" s="50"/>
    </row>
    <row r="272" spans="7:23" x14ac:dyDescent="0.3">
      <c r="G272" s="50"/>
      <c r="H272" s="50"/>
      <c r="I272" s="50"/>
      <c r="J272" s="50"/>
      <c r="K272" s="50"/>
      <c r="L272" s="50"/>
      <c r="M272" s="50"/>
      <c r="N272" s="50"/>
      <c r="O272" s="50"/>
      <c r="P272" s="50"/>
      <c r="Q272" s="50"/>
      <c r="R272" s="50"/>
      <c r="S272" s="50"/>
      <c r="T272" s="50"/>
      <c r="U272" s="50"/>
      <c r="V272" s="50"/>
      <c r="W272" s="50"/>
    </row>
    <row r="273" spans="7:23" x14ac:dyDescent="0.3">
      <c r="G273" s="50"/>
      <c r="H273" s="50"/>
      <c r="I273" s="50"/>
      <c r="J273" s="50"/>
      <c r="K273" s="50"/>
      <c r="L273" s="50"/>
      <c r="M273" s="50"/>
      <c r="N273" s="50"/>
      <c r="O273" s="50"/>
      <c r="P273" s="50"/>
      <c r="Q273" s="50"/>
      <c r="R273" s="50"/>
      <c r="S273" s="50"/>
      <c r="T273" s="50"/>
      <c r="U273" s="50"/>
      <c r="V273" s="50"/>
      <c r="W273" s="50"/>
    </row>
    <row r="274" spans="7:23" x14ac:dyDescent="0.3">
      <c r="G274" s="50"/>
      <c r="H274" s="50"/>
      <c r="I274" s="50"/>
      <c r="J274" s="50"/>
      <c r="K274" s="50"/>
      <c r="L274" s="50"/>
      <c r="M274" s="50"/>
      <c r="N274" s="50"/>
      <c r="O274" s="50"/>
      <c r="P274" s="50"/>
      <c r="Q274" s="50"/>
      <c r="R274" s="50"/>
      <c r="S274" s="50"/>
      <c r="T274" s="50"/>
      <c r="U274" s="50"/>
      <c r="V274" s="50"/>
      <c r="W274" s="50"/>
    </row>
    <row r="275" spans="7:23" x14ac:dyDescent="0.3">
      <c r="G275" s="50"/>
      <c r="H275" s="50"/>
      <c r="I275" s="50"/>
      <c r="J275" s="50"/>
      <c r="K275" s="50"/>
      <c r="L275" s="50"/>
      <c r="M275" s="50"/>
      <c r="N275" s="50"/>
      <c r="O275" s="50"/>
      <c r="P275" s="50"/>
      <c r="Q275" s="50"/>
      <c r="R275" s="50"/>
      <c r="S275" s="50"/>
      <c r="T275" s="50"/>
      <c r="U275" s="50"/>
      <c r="V275" s="50"/>
      <c r="W275" s="50"/>
    </row>
    <row r="276" spans="7:23" x14ac:dyDescent="0.3">
      <c r="G276" s="50"/>
      <c r="H276" s="50"/>
      <c r="I276" s="50"/>
      <c r="J276" s="50"/>
      <c r="K276" s="50"/>
      <c r="L276" s="50"/>
      <c r="M276" s="50"/>
      <c r="N276" s="50"/>
      <c r="O276" s="50"/>
      <c r="P276" s="50"/>
      <c r="Q276" s="50"/>
      <c r="R276" s="50"/>
      <c r="S276" s="50"/>
      <c r="T276" s="50"/>
      <c r="U276" s="50"/>
      <c r="V276" s="50"/>
      <c r="W276" s="50"/>
    </row>
    <row r="277" spans="7:23" x14ac:dyDescent="0.3">
      <c r="G277" s="50"/>
      <c r="H277" s="50"/>
      <c r="I277" s="50"/>
      <c r="J277" s="50"/>
      <c r="K277" s="50"/>
      <c r="L277" s="50"/>
      <c r="M277" s="50"/>
      <c r="N277" s="50"/>
      <c r="O277" s="50"/>
      <c r="P277" s="50"/>
      <c r="Q277" s="50"/>
      <c r="R277" s="50"/>
      <c r="S277" s="50"/>
      <c r="T277" s="50"/>
      <c r="U277" s="50"/>
      <c r="V277" s="50"/>
      <c r="W277" s="50"/>
    </row>
    <row r="278" spans="7:23" x14ac:dyDescent="0.3">
      <c r="G278" s="50"/>
      <c r="H278" s="50"/>
      <c r="I278" s="50"/>
      <c r="J278" s="50"/>
      <c r="K278" s="50"/>
      <c r="L278" s="50"/>
      <c r="M278" s="50"/>
      <c r="N278" s="50"/>
      <c r="O278" s="50"/>
      <c r="P278" s="50"/>
      <c r="Q278" s="50"/>
      <c r="R278" s="50"/>
      <c r="S278" s="50"/>
      <c r="T278" s="50"/>
      <c r="U278" s="50"/>
      <c r="V278" s="50"/>
      <c r="W278" s="50"/>
    </row>
    <row r="279" spans="7:23" x14ac:dyDescent="0.3">
      <c r="G279" s="50"/>
      <c r="H279" s="50"/>
      <c r="I279" s="50"/>
      <c r="J279" s="50"/>
      <c r="K279" s="50"/>
      <c r="L279" s="50"/>
      <c r="M279" s="50"/>
      <c r="N279" s="50"/>
      <c r="O279" s="50"/>
      <c r="P279" s="50"/>
      <c r="Q279" s="50"/>
      <c r="R279" s="50"/>
      <c r="S279" s="50"/>
      <c r="T279" s="50"/>
      <c r="U279" s="50"/>
      <c r="V279" s="50"/>
      <c r="W279" s="50"/>
    </row>
    <row r="280" spans="7:23" x14ac:dyDescent="0.3">
      <c r="G280" s="50"/>
      <c r="H280" s="50"/>
      <c r="I280" s="50"/>
      <c r="J280" s="50"/>
      <c r="K280" s="50"/>
      <c r="L280" s="50"/>
      <c r="M280" s="50"/>
      <c r="N280" s="50"/>
      <c r="O280" s="50"/>
      <c r="P280" s="50"/>
      <c r="Q280" s="50"/>
      <c r="R280" s="50"/>
      <c r="S280" s="50"/>
      <c r="T280" s="50"/>
      <c r="U280" s="50"/>
      <c r="V280" s="50"/>
      <c r="W280" s="50"/>
    </row>
    <row r="281" spans="7:23" x14ac:dyDescent="0.3">
      <c r="G281" s="50"/>
      <c r="H281" s="50"/>
      <c r="I281" s="50"/>
      <c r="J281" s="50"/>
      <c r="K281" s="50"/>
      <c r="L281" s="50"/>
      <c r="M281" s="50"/>
      <c r="N281" s="50"/>
      <c r="O281" s="50"/>
      <c r="P281" s="50"/>
      <c r="Q281" s="50"/>
      <c r="R281" s="50"/>
      <c r="S281" s="50"/>
      <c r="T281" s="50"/>
      <c r="U281" s="50"/>
      <c r="V281" s="50"/>
      <c r="W281" s="50"/>
    </row>
    <row r="282" spans="7:23" x14ac:dyDescent="0.3">
      <c r="G282" s="50"/>
      <c r="H282" s="50"/>
      <c r="I282" s="50"/>
      <c r="J282" s="50"/>
      <c r="K282" s="50"/>
      <c r="L282" s="50"/>
      <c r="M282" s="50"/>
      <c r="N282" s="50"/>
      <c r="O282" s="50"/>
      <c r="P282" s="50"/>
      <c r="Q282" s="50"/>
      <c r="R282" s="50"/>
      <c r="S282" s="50"/>
      <c r="T282" s="50"/>
      <c r="U282" s="50"/>
      <c r="V282" s="50"/>
      <c r="W282" s="50"/>
    </row>
    <row r="283" spans="7:23" x14ac:dyDescent="0.3">
      <c r="G283" s="50"/>
      <c r="H283" s="50"/>
      <c r="I283" s="50"/>
      <c r="J283" s="50"/>
      <c r="K283" s="50"/>
      <c r="L283" s="50"/>
      <c r="M283" s="50"/>
      <c r="N283" s="50"/>
      <c r="O283" s="50"/>
      <c r="P283" s="50"/>
      <c r="Q283" s="50"/>
      <c r="R283" s="50"/>
      <c r="S283" s="50"/>
      <c r="T283" s="50"/>
      <c r="U283" s="50"/>
      <c r="V283" s="50"/>
      <c r="W283" s="50"/>
    </row>
    <row r="284" spans="7:23" x14ac:dyDescent="0.3">
      <c r="G284" s="50"/>
      <c r="H284" s="50"/>
      <c r="I284" s="50"/>
      <c r="J284" s="50"/>
      <c r="K284" s="50"/>
      <c r="L284" s="50"/>
      <c r="M284" s="50"/>
      <c r="N284" s="50"/>
      <c r="O284" s="50"/>
      <c r="P284" s="50"/>
      <c r="Q284" s="50"/>
      <c r="R284" s="50"/>
      <c r="S284" s="50"/>
      <c r="T284" s="50"/>
      <c r="U284" s="50"/>
      <c r="V284" s="50"/>
      <c r="W284" s="50"/>
    </row>
    <row r="285" spans="7:23" x14ac:dyDescent="0.3">
      <c r="G285" s="50"/>
      <c r="H285" s="50"/>
      <c r="I285" s="50"/>
      <c r="J285" s="50"/>
      <c r="K285" s="50"/>
      <c r="L285" s="50"/>
      <c r="M285" s="50"/>
      <c r="N285" s="50"/>
      <c r="O285" s="50"/>
      <c r="P285" s="50"/>
      <c r="Q285" s="50"/>
      <c r="R285" s="50"/>
      <c r="S285" s="50"/>
      <c r="T285" s="50"/>
      <c r="U285" s="50"/>
      <c r="V285" s="50"/>
      <c r="W285" s="50"/>
    </row>
    <row r="286" spans="7:23" x14ac:dyDescent="0.3">
      <c r="G286" s="50"/>
      <c r="H286" s="50"/>
      <c r="I286" s="50"/>
      <c r="J286" s="50"/>
      <c r="K286" s="50"/>
      <c r="L286" s="50"/>
      <c r="M286" s="50"/>
      <c r="N286" s="50"/>
      <c r="O286" s="50"/>
      <c r="P286" s="50"/>
      <c r="Q286" s="50"/>
      <c r="R286" s="50"/>
      <c r="S286" s="50"/>
      <c r="T286" s="50"/>
      <c r="U286" s="50"/>
      <c r="V286" s="50"/>
      <c r="W286" s="50"/>
    </row>
    <row r="287" spans="7:23" x14ac:dyDescent="0.3">
      <c r="G287" s="50"/>
      <c r="H287" s="50"/>
      <c r="I287" s="50"/>
      <c r="J287" s="50"/>
      <c r="K287" s="50"/>
      <c r="L287" s="50"/>
      <c r="M287" s="50"/>
      <c r="N287" s="50"/>
      <c r="O287" s="50"/>
      <c r="P287" s="50"/>
      <c r="Q287" s="50"/>
      <c r="R287" s="50"/>
      <c r="S287" s="50"/>
      <c r="T287" s="50"/>
      <c r="U287" s="50"/>
      <c r="V287" s="50"/>
      <c r="W287" s="50"/>
    </row>
    <row r="288" spans="7:23" x14ac:dyDescent="0.3">
      <c r="G288" s="50"/>
      <c r="H288" s="50"/>
      <c r="I288" s="50"/>
      <c r="J288" s="50"/>
      <c r="K288" s="50"/>
      <c r="L288" s="50"/>
      <c r="M288" s="50"/>
      <c r="N288" s="50"/>
      <c r="O288" s="50"/>
      <c r="P288" s="50"/>
      <c r="Q288" s="50"/>
      <c r="R288" s="50"/>
      <c r="S288" s="50"/>
      <c r="T288" s="50"/>
      <c r="U288" s="50"/>
      <c r="V288" s="50"/>
      <c r="W288" s="50"/>
    </row>
    <row r="289" spans="7:23" x14ac:dyDescent="0.3">
      <c r="G289" s="50"/>
      <c r="H289" s="50"/>
      <c r="I289" s="50"/>
      <c r="J289" s="50"/>
      <c r="K289" s="50"/>
      <c r="L289" s="50"/>
      <c r="M289" s="50"/>
      <c r="N289" s="50"/>
      <c r="O289" s="50"/>
      <c r="P289" s="50"/>
      <c r="Q289" s="50"/>
      <c r="R289" s="50"/>
      <c r="S289" s="50"/>
      <c r="T289" s="50"/>
      <c r="U289" s="50"/>
      <c r="V289" s="50"/>
      <c r="W289" s="50"/>
    </row>
    <row r="290" spans="7:23" x14ac:dyDescent="0.3">
      <c r="G290" s="50"/>
      <c r="H290" s="50"/>
      <c r="I290" s="50"/>
      <c r="J290" s="50"/>
      <c r="K290" s="50"/>
      <c r="L290" s="50"/>
      <c r="M290" s="50"/>
      <c r="N290" s="50"/>
      <c r="O290" s="50"/>
      <c r="P290" s="50"/>
      <c r="Q290" s="50"/>
      <c r="R290" s="50"/>
      <c r="S290" s="50"/>
      <c r="T290" s="50"/>
      <c r="U290" s="50"/>
      <c r="V290" s="50"/>
      <c r="W290" s="50"/>
    </row>
    <row r="291" spans="7:23" x14ac:dyDescent="0.3">
      <c r="G291" s="50"/>
      <c r="H291" s="50"/>
      <c r="I291" s="50"/>
      <c r="J291" s="50"/>
      <c r="K291" s="50"/>
      <c r="L291" s="50"/>
      <c r="M291" s="50"/>
      <c r="N291" s="50"/>
      <c r="O291" s="50"/>
      <c r="P291" s="50"/>
      <c r="Q291" s="50"/>
      <c r="R291" s="50"/>
      <c r="S291" s="50"/>
      <c r="T291" s="50"/>
      <c r="U291" s="50"/>
      <c r="V291" s="50"/>
      <c r="W291" s="50"/>
    </row>
    <row r="292" spans="7:23" x14ac:dyDescent="0.3">
      <c r="G292" s="50"/>
      <c r="H292" s="50"/>
      <c r="I292" s="50"/>
      <c r="J292" s="50"/>
      <c r="K292" s="50"/>
      <c r="L292" s="50"/>
      <c r="M292" s="50"/>
      <c r="N292" s="50"/>
      <c r="O292" s="50"/>
      <c r="P292" s="50"/>
      <c r="Q292" s="50"/>
      <c r="R292" s="50"/>
      <c r="S292" s="50"/>
      <c r="T292" s="50"/>
      <c r="U292" s="50"/>
      <c r="V292" s="50"/>
      <c r="W292" s="50"/>
    </row>
    <row r="293" spans="7:23" x14ac:dyDescent="0.3">
      <c r="G293" s="50"/>
      <c r="H293" s="50"/>
      <c r="I293" s="50"/>
      <c r="J293" s="50"/>
      <c r="K293" s="50"/>
      <c r="L293" s="50"/>
      <c r="M293" s="50"/>
      <c r="N293" s="50"/>
      <c r="O293" s="50"/>
      <c r="P293" s="50"/>
      <c r="Q293" s="50"/>
      <c r="R293" s="50"/>
      <c r="S293" s="50"/>
      <c r="T293" s="50"/>
      <c r="U293" s="50"/>
      <c r="V293" s="50"/>
      <c r="W293" s="50"/>
    </row>
    <row r="294" spans="7:23" x14ac:dyDescent="0.3">
      <c r="G294" s="50"/>
      <c r="H294" s="50"/>
      <c r="I294" s="50"/>
      <c r="J294" s="50"/>
      <c r="K294" s="50"/>
      <c r="L294" s="50"/>
      <c r="M294" s="50"/>
      <c r="N294" s="50"/>
      <c r="O294" s="50"/>
      <c r="P294" s="50"/>
      <c r="Q294" s="50"/>
      <c r="R294" s="50"/>
      <c r="S294" s="50"/>
      <c r="T294" s="50"/>
      <c r="U294" s="50"/>
      <c r="V294" s="50"/>
      <c r="W294" s="50"/>
    </row>
    <row r="295" spans="7:23" x14ac:dyDescent="0.3">
      <c r="G295" s="50"/>
      <c r="H295" s="50"/>
      <c r="I295" s="50"/>
      <c r="J295" s="50"/>
      <c r="K295" s="50"/>
      <c r="L295" s="50"/>
      <c r="M295" s="50"/>
      <c r="N295" s="50"/>
      <c r="O295" s="50"/>
      <c r="P295" s="50"/>
      <c r="Q295" s="50"/>
      <c r="R295" s="50"/>
      <c r="S295" s="50"/>
      <c r="T295" s="50"/>
      <c r="U295" s="50"/>
      <c r="V295" s="50"/>
      <c r="W295" s="50"/>
    </row>
    <row r="296" spans="7:23" x14ac:dyDescent="0.3">
      <c r="G296" s="50"/>
      <c r="H296" s="50"/>
      <c r="I296" s="50"/>
      <c r="J296" s="50"/>
      <c r="K296" s="50"/>
      <c r="L296" s="50"/>
      <c r="M296" s="50"/>
      <c r="N296" s="50"/>
      <c r="O296" s="50"/>
      <c r="P296" s="50"/>
      <c r="Q296" s="50"/>
      <c r="R296" s="50"/>
      <c r="S296" s="50"/>
      <c r="T296" s="50"/>
      <c r="U296" s="50"/>
      <c r="V296" s="50"/>
      <c r="W296" s="50"/>
    </row>
    <row r="297" spans="7:23" x14ac:dyDescent="0.3">
      <c r="G297" s="50"/>
      <c r="H297" s="50"/>
      <c r="I297" s="50"/>
      <c r="J297" s="50"/>
      <c r="K297" s="50"/>
      <c r="L297" s="50"/>
      <c r="M297" s="50"/>
      <c r="N297" s="50"/>
      <c r="O297" s="50"/>
      <c r="P297" s="50"/>
      <c r="Q297" s="50"/>
      <c r="R297" s="50"/>
      <c r="S297" s="50"/>
      <c r="T297" s="50"/>
      <c r="U297" s="50"/>
      <c r="V297" s="50"/>
      <c r="W297" s="50"/>
    </row>
  </sheetData>
  <mergeCells count="1">
    <mergeCell ref="G6:T6"/>
  </mergeCells>
  <pageMargins left="0.7" right="0.7" top="0.75" bottom="0.75" header="0.3" footer="0.3"/>
  <pageSetup paperSize="9" scale="2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7"/>
  <sheetViews>
    <sheetView tabSelected="1" view="pageBreakPreview" topLeftCell="L1" zoomScale="110" zoomScaleNormal="100" zoomScaleSheetLayoutView="110" workbookViewId="0">
      <selection activeCell="K44" sqref="K44"/>
    </sheetView>
  </sheetViews>
  <sheetFormatPr defaultColWidth="8.88671875" defaultRowHeight="13.2" x14ac:dyDescent="0.25"/>
  <cols>
    <col min="1" max="2" width="0.88671875" style="636" customWidth="1"/>
    <col min="3" max="3" width="2.6640625" style="636" customWidth="1"/>
    <col min="4" max="4" width="35.109375" style="636" customWidth="1"/>
    <col min="5" max="5" width="3" style="655" customWidth="1"/>
    <col min="6" max="8" width="15.6640625" style="655" customWidth="1"/>
    <col min="9" max="9" width="15.109375" style="655" customWidth="1"/>
    <col min="10" max="11" width="12.6640625" style="655" customWidth="1"/>
    <col min="12" max="12" width="15.6640625" style="655" customWidth="1"/>
    <col min="13" max="13" width="16.33203125" style="655" customWidth="1"/>
    <col min="14" max="14" width="15.6640625" style="655" customWidth="1"/>
    <col min="15" max="15" width="15.33203125" style="655" customWidth="1"/>
    <col min="16" max="16" width="12.6640625" style="655" customWidth="1"/>
    <col min="17" max="17" width="15.6640625" style="655" customWidth="1"/>
    <col min="18" max="18" width="14.44140625" style="655" customWidth="1"/>
    <col min="19" max="19" width="15.6640625" style="655" customWidth="1"/>
    <col min="20" max="20" width="2" style="636" customWidth="1"/>
    <col min="21" max="21" width="1.6640625" style="636" customWidth="1"/>
    <col min="22" max="22" width="19.88671875" style="636" bestFit="1" customWidth="1"/>
    <col min="23" max="23" width="11" style="636" hidden="1" customWidth="1"/>
    <col min="24" max="24" width="12.5546875" style="636" customWidth="1"/>
    <col min="25" max="242" width="8.88671875" style="636"/>
    <col min="243" max="244" width="0.88671875" style="636" customWidth="1"/>
    <col min="245" max="245" width="2.6640625" style="636" customWidth="1"/>
    <col min="246" max="246" width="35.109375" style="636" customWidth="1"/>
    <col min="247" max="247" width="3" style="636" customWidth="1"/>
    <col min="248" max="248" width="15.6640625" style="636" customWidth="1"/>
    <col min="249" max="259" width="0" style="636" hidden="1" customWidth="1"/>
    <col min="260" max="260" width="14.44140625" style="636" customWidth="1"/>
    <col min="261" max="262" width="15.6640625" style="636" customWidth="1"/>
    <col min="263" max="273" width="0" style="636" hidden="1" customWidth="1"/>
    <col min="274" max="275" width="15.6640625" style="636" customWidth="1"/>
    <col min="276" max="276" width="2" style="636" customWidth="1"/>
    <col min="277" max="277" width="1.6640625" style="636" customWidth="1"/>
    <col min="278" max="278" width="19.88671875" style="636" bestFit="1" customWidth="1"/>
    <col min="279" max="279" width="0" style="636" hidden="1" customWidth="1"/>
    <col min="280" max="280" width="12.5546875" style="636" customWidth="1"/>
    <col min="281" max="498" width="8.88671875" style="636"/>
    <col min="499" max="500" width="0.88671875" style="636" customWidth="1"/>
    <col min="501" max="501" width="2.6640625" style="636" customWidth="1"/>
    <col min="502" max="502" width="35.109375" style="636" customWidth="1"/>
    <col min="503" max="503" width="3" style="636" customWidth="1"/>
    <col min="504" max="504" width="15.6640625" style="636" customWidth="1"/>
    <col min="505" max="515" width="0" style="636" hidden="1" customWidth="1"/>
    <col min="516" max="516" width="14.44140625" style="636" customWidth="1"/>
    <col min="517" max="518" width="15.6640625" style="636" customWidth="1"/>
    <col min="519" max="529" width="0" style="636" hidden="1" customWidth="1"/>
    <col min="530" max="531" width="15.6640625" style="636" customWidth="1"/>
    <col min="532" max="532" width="2" style="636" customWidth="1"/>
    <col min="533" max="533" width="1.6640625" style="636" customWidth="1"/>
    <col min="534" max="534" width="19.88671875" style="636" bestFit="1" customWidth="1"/>
    <col min="535" max="535" width="0" style="636" hidden="1" customWidth="1"/>
    <col min="536" max="536" width="12.5546875" style="636" customWidth="1"/>
    <col min="537" max="754" width="8.88671875" style="636"/>
    <col min="755" max="756" width="0.88671875" style="636" customWidth="1"/>
    <col min="757" max="757" width="2.6640625" style="636" customWidth="1"/>
    <col min="758" max="758" width="35.109375" style="636" customWidth="1"/>
    <col min="759" max="759" width="3" style="636" customWidth="1"/>
    <col min="760" max="760" width="15.6640625" style="636" customWidth="1"/>
    <col min="761" max="771" width="0" style="636" hidden="1" customWidth="1"/>
    <col min="772" max="772" width="14.44140625" style="636" customWidth="1"/>
    <col min="773" max="774" width="15.6640625" style="636" customWidth="1"/>
    <col min="775" max="785" width="0" style="636" hidden="1" customWidth="1"/>
    <col min="786" max="787" width="15.6640625" style="636" customWidth="1"/>
    <col min="788" max="788" width="2" style="636" customWidth="1"/>
    <col min="789" max="789" width="1.6640625" style="636" customWidth="1"/>
    <col min="790" max="790" width="19.88671875" style="636" bestFit="1" customWidth="1"/>
    <col min="791" max="791" width="0" style="636" hidden="1" customWidth="1"/>
    <col min="792" max="792" width="12.5546875" style="636" customWidth="1"/>
    <col min="793" max="1010" width="8.88671875" style="636"/>
    <col min="1011" max="1012" width="0.88671875" style="636" customWidth="1"/>
    <col min="1013" max="1013" width="2.6640625" style="636" customWidth="1"/>
    <col min="1014" max="1014" width="35.109375" style="636" customWidth="1"/>
    <col min="1015" max="1015" width="3" style="636" customWidth="1"/>
    <col min="1016" max="1016" width="15.6640625" style="636" customWidth="1"/>
    <col min="1017" max="1027" width="0" style="636" hidden="1" customWidth="1"/>
    <col min="1028" max="1028" width="14.44140625" style="636" customWidth="1"/>
    <col min="1029" max="1030" width="15.6640625" style="636" customWidth="1"/>
    <col min="1031" max="1041" width="0" style="636" hidden="1" customWidth="1"/>
    <col min="1042" max="1043" width="15.6640625" style="636" customWidth="1"/>
    <col min="1044" max="1044" width="2" style="636" customWidth="1"/>
    <col min="1045" max="1045" width="1.6640625" style="636" customWidth="1"/>
    <col min="1046" max="1046" width="19.88671875" style="636" bestFit="1" customWidth="1"/>
    <col min="1047" max="1047" width="0" style="636" hidden="1" customWidth="1"/>
    <col min="1048" max="1048" width="12.5546875" style="636" customWidth="1"/>
    <col min="1049" max="1266" width="8.88671875" style="636"/>
    <col min="1267" max="1268" width="0.88671875" style="636" customWidth="1"/>
    <col min="1269" max="1269" width="2.6640625" style="636" customWidth="1"/>
    <col min="1270" max="1270" width="35.109375" style="636" customWidth="1"/>
    <col min="1271" max="1271" width="3" style="636" customWidth="1"/>
    <col min="1272" max="1272" width="15.6640625" style="636" customWidth="1"/>
    <col min="1273" max="1283" width="0" style="636" hidden="1" customWidth="1"/>
    <col min="1284" max="1284" width="14.44140625" style="636" customWidth="1"/>
    <col min="1285" max="1286" width="15.6640625" style="636" customWidth="1"/>
    <col min="1287" max="1297" width="0" style="636" hidden="1" customWidth="1"/>
    <col min="1298" max="1299" width="15.6640625" style="636" customWidth="1"/>
    <col min="1300" max="1300" width="2" style="636" customWidth="1"/>
    <col min="1301" max="1301" width="1.6640625" style="636" customWidth="1"/>
    <col min="1302" max="1302" width="19.88671875" style="636" bestFit="1" customWidth="1"/>
    <col min="1303" max="1303" width="0" style="636" hidden="1" customWidth="1"/>
    <col min="1304" max="1304" width="12.5546875" style="636" customWidth="1"/>
    <col min="1305" max="1522" width="8.88671875" style="636"/>
    <col min="1523" max="1524" width="0.88671875" style="636" customWidth="1"/>
    <col min="1525" max="1525" width="2.6640625" style="636" customWidth="1"/>
    <col min="1526" max="1526" width="35.109375" style="636" customWidth="1"/>
    <col min="1527" max="1527" width="3" style="636" customWidth="1"/>
    <col min="1528" max="1528" width="15.6640625" style="636" customWidth="1"/>
    <col min="1529" max="1539" width="0" style="636" hidden="1" customWidth="1"/>
    <col min="1540" max="1540" width="14.44140625" style="636" customWidth="1"/>
    <col min="1541" max="1542" width="15.6640625" style="636" customWidth="1"/>
    <col min="1543" max="1553" width="0" style="636" hidden="1" customWidth="1"/>
    <col min="1554" max="1555" width="15.6640625" style="636" customWidth="1"/>
    <col min="1556" max="1556" width="2" style="636" customWidth="1"/>
    <col min="1557" max="1557" width="1.6640625" style="636" customWidth="1"/>
    <col min="1558" max="1558" width="19.88671875" style="636" bestFit="1" customWidth="1"/>
    <col min="1559" max="1559" width="0" style="636" hidden="1" customWidth="1"/>
    <col min="1560" max="1560" width="12.5546875" style="636" customWidth="1"/>
    <col min="1561" max="1778" width="8.88671875" style="636"/>
    <col min="1779" max="1780" width="0.88671875" style="636" customWidth="1"/>
    <col min="1781" max="1781" width="2.6640625" style="636" customWidth="1"/>
    <col min="1782" max="1782" width="35.109375" style="636" customWidth="1"/>
    <col min="1783" max="1783" width="3" style="636" customWidth="1"/>
    <col min="1784" max="1784" width="15.6640625" style="636" customWidth="1"/>
    <col min="1785" max="1795" width="0" style="636" hidden="1" customWidth="1"/>
    <col min="1796" max="1796" width="14.44140625" style="636" customWidth="1"/>
    <col min="1797" max="1798" width="15.6640625" style="636" customWidth="1"/>
    <col min="1799" max="1809" width="0" style="636" hidden="1" customWidth="1"/>
    <col min="1810" max="1811" width="15.6640625" style="636" customWidth="1"/>
    <col min="1812" max="1812" width="2" style="636" customWidth="1"/>
    <col min="1813" max="1813" width="1.6640625" style="636" customWidth="1"/>
    <col min="1814" max="1814" width="19.88671875" style="636" bestFit="1" customWidth="1"/>
    <col min="1815" max="1815" width="0" style="636" hidden="1" customWidth="1"/>
    <col min="1816" max="1816" width="12.5546875" style="636" customWidth="1"/>
    <col min="1817" max="2034" width="8.88671875" style="636"/>
    <col min="2035" max="2036" width="0.88671875" style="636" customWidth="1"/>
    <col min="2037" max="2037" width="2.6640625" style="636" customWidth="1"/>
    <col min="2038" max="2038" width="35.109375" style="636" customWidth="1"/>
    <col min="2039" max="2039" width="3" style="636" customWidth="1"/>
    <col min="2040" max="2040" width="15.6640625" style="636" customWidth="1"/>
    <col min="2041" max="2051" width="0" style="636" hidden="1" customWidth="1"/>
    <col min="2052" max="2052" width="14.44140625" style="636" customWidth="1"/>
    <col min="2053" max="2054" width="15.6640625" style="636" customWidth="1"/>
    <col min="2055" max="2065" width="0" style="636" hidden="1" customWidth="1"/>
    <col min="2066" max="2067" width="15.6640625" style="636" customWidth="1"/>
    <col min="2068" max="2068" width="2" style="636" customWidth="1"/>
    <col min="2069" max="2069" width="1.6640625" style="636" customWidth="1"/>
    <col min="2070" max="2070" width="19.88671875" style="636" bestFit="1" customWidth="1"/>
    <col min="2071" max="2071" width="0" style="636" hidden="1" customWidth="1"/>
    <col min="2072" max="2072" width="12.5546875" style="636" customWidth="1"/>
    <col min="2073" max="2290" width="8.88671875" style="636"/>
    <col min="2291" max="2292" width="0.88671875" style="636" customWidth="1"/>
    <col min="2293" max="2293" width="2.6640625" style="636" customWidth="1"/>
    <col min="2294" max="2294" width="35.109375" style="636" customWidth="1"/>
    <col min="2295" max="2295" width="3" style="636" customWidth="1"/>
    <col min="2296" max="2296" width="15.6640625" style="636" customWidth="1"/>
    <col min="2297" max="2307" width="0" style="636" hidden="1" customWidth="1"/>
    <col min="2308" max="2308" width="14.44140625" style="636" customWidth="1"/>
    <col min="2309" max="2310" width="15.6640625" style="636" customWidth="1"/>
    <col min="2311" max="2321" width="0" style="636" hidden="1" customWidth="1"/>
    <col min="2322" max="2323" width="15.6640625" style="636" customWidth="1"/>
    <col min="2324" max="2324" width="2" style="636" customWidth="1"/>
    <col min="2325" max="2325" width="1.6640625" style="636" customWidth="1"/>
    <col min="2326" max="2326" width="19.88671875" style="636" bestFit="1" customWidth="1"/>
    <col min="2327" max="2327" width="0" style="636" hidden="1" customWidth="1"/>
    <col min="2328" max="2328" width="12.5546875" style="636" customWidth="1"/>
    <col min="2329" max="2546" width="8.88671875" style="636"/>
    <col min="2547" max="2548" width="0.88671875" style="636" customWidth="1"/>
    <col min="2549" max="2549" width="2.6640625" style="636" customWidth="1"/>
    <col min="2550" max="2550" width="35.109375" style="636" customWidth="1"/>
    <col min="2551" max="2551" width="3" style="636" customWidth="1"/>
    <col min="2552" max="2552" width="15.6640625" style="636" customWidth="1"/>
    <col min="2553" max="2563" width="0" style="636" hidden="1" customWidth="1"/>
    <col min="2564" max="2564" width="14.44140625" style="636" customWidth="1"/>
    <col min="2565" max="2566" width="15.6640625" style="636" customWidth="1"/>
    <col min="2567" max="2577" width="0" style="636" hidden="1" customWidth="1"/>
    <col min="2578" max="2579" width="15.6640625" style="636" customWidth="1"/>
    <col min="2580" max="2580" width="2" style="636" customWidth="1"/>
    <col min="2581" max="2581" width="1.6640625" style="636" customWidth="1"/>
    <col min="2582" max="2582" width="19.88671875" style="636" bestFit="1" customWidth="1"/>
    <col min="2583" max="2583" width="0" style="636" hidden="1" customWidth="1"/>
    <col min="2584" max="2584" width="12.5546875" style="636" customWidth="1"/>
    <col min="2585" max="2802" width="8.88671875" style="636"/>
    <col min="2803" max="2804" width="0.88671875" style="636" customWidth="1"/>
    <col min="2805" max="2805" width="2.6640625" style="636" customWidth="1"/>
    <col min="2806" max="2806" width="35.109375" style="636" customWidth="1"/>
    <col min="2807" max="2807" width="3" style="636" customWidth="1"/>
    <col min="2808" max="2808" width="15.6640625" style="636" customWidth="1"/>
    <col min="2809" max="2819" width="0" style="636" hidden="1" customWidth="1"/>
    <col min="2820" max="2820" width="14.44140625" style="636" customWidth="1"/>
    <col min="2821" max="2822" width="15.6640625" style="636" customWidth="1"/>
    <col min="2823" max="2833" width="0" style="636" hidden="1" customWidth="1"/>
    <col min="2834" max="2835" width="15.6640625" style="636" customWidth="1"/>
    <col min="2836" max="2836" width="2" style="636" customWidth="1"/>
    <col min="2837" max="2837" width="1.6640625" style="636" customWidth="1"/>
    <col min="2838" max="2838" width="19.88671875" style="636" bestFit="1" customWidth="1"/>
    <col min="2839" max="2839" width="0" style="636" hidden="1" customWidth="1"/>
    <col min="2840" max="2840" width="12.5546875" style="636" customWidth="1"/>
    <col min="2841" max="3058" width="8.88671875" style="636"/>
    <col min="3059" max="3060" width="0.88671875" style="636" customWidth="1"/>
    <col min="3061" max="3061" width="2.6640625" style="636" customWidth="1"/>
    <col min="3062" max="3062" width="35.109375" style="636" customWidth="1"/>
    <col min="3063" max="3063" width="3" style="636" customWidth="1"/>
    <col min="3064" max="3064" width="15.6640625" style="636" customWidth="1"/>
    <col min="3065" max="3075" width="0" style="636" hidden="1" customWidth="1"/>
    <col min="3076" max="3076" width="14.44140625" style="636" customWidth="1"/>
    <col min="3077" max="3078" width="15.6640625" style="636" customWidth="1"/>
    <col min="3079" max="3089" width="0" style="636" hidden="1" customWidth="1"/>
    <col min="3090" max="3091" width="15.6640625" style="636" customWidth="1"/>
    <col min="3092" max="3092" width="2" style="636" customWidth="1"/>
    <col min="3093" max="3093" width="1.6640625" style="636" customWidth="1"/>
    <col min="3094" max="3094" width="19.88671875" style="636" bestFit="1" customWidth="1"/>
    <col min="3095" max="3095" width="0" style="636" hidden="1" customWidth="1"/>
    <col min="3096" max="3096" width="12.5546875" style="636" customWidth="1"/>
    <col min="3097" max="3314" width="8.88671875" style="636"/>
    <col min="3315" max="3316" width="0.88671875" style="636" customWidth="1"/>
    <col min="3317" max="3317" width="2.6640625" style="636" customWidth="1"/>
    <col min="3318" max="3318" width="35.109375" style="636" customWidth="1"/>
    <col min="3319" max="3319" width="3" style="636" customWidth="1"/>
    <col min="3320" max="3320" width="15.6640625" style="636" customWidth="1"/>
    <col min="3321" max="3331" width="0" style="636" hidden="1" customWidth="1"/>
    <col min="3332" max="3332" width="14.44140625" style="636" customWidth="1"/>
    <col min="3333" max="3334" width="15.6640625" style="636" customWidth="1"/>
    <col min="3335" max="3345" width="0" style="636" hidden="1" customWidth="1"/>
    <col min="3346" max="3347" width="15.6640625" style="636" customWidth="1"/>
    <col min="3348" max="3348" width="2" style="636" customWidth="1"/>
    <col min="3349" max="3349" width="1.6640625" style="636" customWidth="1"/>
    <col min="3350" max="3350" width="19.88671875" style="636" bestFit="1" customWidth="1"/>
    <col min="3351" max="3351" width="0" style="636" hidden="1" customWidth="1"/>
    <col min="3352" max="3352" width="12.5546875" style="636" customWidth="1"/>
    <col min="3353" max="3570" width="8.88671875" style="636"/>
    <col min="3571" max="3572" width="0.88671875" style="636" customWidth="1"/>
    <col min="3573" max="3573" width="2.6640625" style="636" customWidth="1"/>
    <col min="3574" max="3574" width="35.109375" style="636" customWidth="1"/>
    <col min="3575" max="3575" width="3" style="636" customWidth="1"/>
    <col min="3576" max="3576" width="15.6640625" style="636" customWidth="1"/>
    <col min="3577" max="3587" width="0" style="636" hidden="1" customWidth="1"/>
    <col min="3588" max="3588" width="14.44140625" style="636" customWidth="1"/>
    <col min="3589" max="3590" width="15.6640625" style="636" customWidth="1"/>
    <col min="3591" max="3601" width="0" style="636" hidden="1" customWidth="1"/>
    <col min="3602" max="3603" width="15.6640625" style="636" customWidth="1"/>
    <col min="3604" max="3604" width="2" style="636" customWidth="1"/>
    <col min="3605" max="3605" width="1.6640625" style="636" customWidth="1"/>
    <col min="3606" max="3606" width="19.88671875" style="636" bestFit="1" customWidth="1"/>
    <col min="3607" max="3607" width="0" style="636" hidden="1" customWidth="1"/>
    <col min="3608" max="3608" width="12.5546875" style="636" customWidth="1"/>
    <col min="3609" max="3826" width="8.88671875" style="636"/>
    <col min="3827" max="3828" width="0.88671875" style="636" customWidth="1"/>
    <col min="3829" max="3829" width="2.6640625" style="636" customWidth="1"/>
    <col min="3830" max="3830" width="35.109375" style="636" customWidth="1"/>
    <col min="3831" max="3831" width="3" style="636" customWidth="1"/>
    <col min="3832" max="3832" width="15.6640625" style="636" customWidth="1"/>
    <col min="3833" max="3843" width="0" style="636" hidden="1" customWidth="1"/>
    <col min="3844" max="3844" width="14.44140625" style="636" customWidth="1"/>
    <col min="3845" max="3846" width="15.6640625" style="636" customWidth="1"/>
    <col min="3847" max="3857" width="0" style="636" hidden="1" customWidth="1"/>
    <col min="3858" max="3859" width="15.6640625" style="636" customWidth="1"/>
    <col min="3860" max="3860" width="2" style="636" customWidth="1"/>
    <col min="3861" max="3861" width="1.6640625" style="636" customWidth="1"/>
    <col min="3862" max="3862" width="19.88671875" style="636" bestFit="1" customWidth="1"/>
    <col min="3863" max="3863" width="0" style="636" hidden="1" customWidth="1"/>
    <col min="3864" max="3864" width="12.5546875" style="636" customWidth="1"/>
    <col min="3865" max="4082" width="8.88671875" style="636"/>
    <col min="4083" max="4084" width="0.88671875" style="636" customWidth="1"/>
    <col min="4085" max="4085" width="2.6640625" style="636" customWidth="1"/>
    <col min="4086" max="4086" width="35.109375" style="636" customWidth="1"/>
    <col min="4087" max="4087" width="3" style="636" customWidth="1"/>
    <col min="4088" max="4088" width="15.6640625" style="636" customWidth="1"/>
    <col min="4089" max="4099" width="0" style="636" hidden="1" customWidth="1"/>
    <col min="4100" max="4100" width="14.44140625" style="636" customWidth="1"/>
    <col min="4101" max="4102" width="15.6640625" style="636" customWidth="1"/>
    <col min="4103" max="4113" width="0" style="636" hidden="1" customWidth="1"/>
    <col min="4114" max="4115" width="15.6640625" style="636" customWidth="1"/>
    <col min="4116" max="4116" width="2" style="636" customWidth="1"/>
    <col min="4117" max="4117" width="1.6640625" style="636" customWidth="1"/>
    <col min="4118" max="4118" width="19.88671875" style="636" bestFit="1" customWidth="1"/>
    <col min="4119" max="4119" width="0" style="636" hidden="1" customWidth="1"/>
    <col min="4120" max="4120" width="12.5546875" style="636" customWidth="1"/>
    <col min="4121" max="4338" width="8.88671875" style="636"/>
    <col min="4339" max="4340" width="0.88671875" style="636" customWidth="1"/>
    <col min="4341" max="4341" width="2.6640625" style="636" customWidth="1"/>
    <col min="4342" max="4342" width="35.109375" style="636" customWidth="1"/>
    <col min="4343" max="4343" width="3" style="636" customWidth="1"/>
    <col min="4344" max="4344" width="15.6640625" style="636" customWidth="1"/>
    <col min="4345" max="4355" width="0" style="636" hidden="1" customWidth="1"/>
    <col min="4356" max="4356" width="14.44140625" style="636" customWidth="1"/>
    <col min="4357" max="4358" width="15.6640625" style="636" customWidth="1"/>
    <col min="4359" max="4369" width="0" style="636" hidden="1" customWidth="1"/>
    <col min="4370" max="4371" width="15.6640625" style="636" customWidth="1"/>
    <col min="4372" max="4372" width="2" style="636" customWidth="1"/>
    <col min="4373" max="4373" width="1.6640625" style="636" customWidth="1"/>
    <col min="4374" max="4374" width="19.88671875" style="636" bestFit="1" customWidth="1"/>
    <col min="4375" max="4375" width="0" style="636" hidden="1" customWidth="1"/>
    <col min="4376" max="4376" width="12.5546875" style="636" customWidth="1"/>
    <col min="4377" max="4594" width="8.88671875" style="636"/>
    <col min="4595" max="4596" width="0.88671875" style="636" customWidth="1"/>
    <col min="4597" max="4597" width="2.6640625" style="636" customWidth="1"/>
    <col min="4598" max="4598" width="35.109375" style="636" customWidth="1"/>
    <col min="4599" max="4599" width="3" style="636" customWidth="1"/>
    <col min="4600" max="4600" width="15.6640625" style="636" customWidth="1"/>
    <col min="4601" max="4611" width="0" style="636" hidden="1" customWidth="1"/>
    <col min="4612" max="4612" width="14.44140625" style="636" customWidth="1"/>
    <col min="4613" max="4614" width="15.6640625" style="636" customWidth="1"/>
    <col min="4615" max="4625" width="0" style="636" hidden="1" customWidth="1"/>
    <col min="4626" max="4627" width="15.6640625" style="636" customWidth="1"/>
    <col min="4628" max="4628" width="2" style="636" customWidth="1"/>
    <col min="4629" max="4629" width="1.6640625" style="636" customWidth="1"/>
    <col min="4630" max="4630" width="19.88671875" style="636" bestFit="1" customWidth="1"/>
    <col min="4631" max="4631" width="0" style="636" hidden="1" customWidth="1"/>
    <col min="4632" max="4632" width="12.5546875" style="636" customWidth="1"/>
    <col min="4633" max="4850" width="8.88671875" style="636"/>
    <col min="4851" max="4852" width="0.88671875" style="636" customWidth="1"/>
    <col min="4853" max="4853" width="2.6640625" style="636" customWidth="1"/>
    <col min="4854" max="4854" width="35.109375" style="636" customWidth="1"/>
    <col min="4855" max="4855" width="3" style="636" customWidth="1"/>
    <col min="4856" max="4856" width="15.6640625" style="636" customWidth="1"/>
    <col min="4857" max="4867" width="0" style="636" hidden="1" customWidth="1"/>
    <col min="4868" max="4868" width="14.44140625" style="636" customWidth="1"/>
    <col min="4869" max="4870" width="15.6640625" style="636" customWidth="1"/>
    <col min="4871" max="4881" width="0" style="636" hidden="1" customWidth="1"/>
    <col min="4882" max="4883" width="15.6640625" style="636" customWidth="1"/>
    <col min="4884" max="4884" width="2" style="636" customWidth="1"/>
    <col min="4885" max="4885" width="1.6640625" style="636" customWidth="1"/>
    <col min="4886" max="4886" width="19.88671875" style="636" bestFit="1" customWidth="1"/>
    <col min="4887" max="4887" width="0" style="636" hidden="1" customWidth="1"/>
    <col min="4888" max="4888" width="12.5546875" style="636" customWidth="1"/>
    <col min="4889" max="5106" width="8.88671875" style="636"/>
    <col min="5107" max="5108" width="0.88671875" style="636" customWidth="1"/>
    <col min="5109" max="5109" width="2.6640625" style="636" customWidth="1"/>
    <col min="5110" max="5110" width="35.109375" style="636" customWidth="1"/>
    <col min="5111" max="5111" width="3" style="636" customWidth="1"/>
    <col min="5112" max="5112" width="15.6640625" style="636" customWidth="1"/>
    <col min="5113" max="5123" width="0" style="636" hidden="1" customWidth="1"/>
    <col min="5124" max="5124" width="14.44140625" style="636" customWidth="1"/>
    <col min="5125" max="5126" width="15.6640625" style="636" customWidth="1"/>
    <col min="5127" max="5137" width="0" style="636" hidden="1" customWidth="1"/>
    <col min="5138" max="5139" width="15.6640625" style="636" customWidth="1"/>
    <col min="5140" max="5140" width="2" style="636" customWidth="1"/>
    <col min="5141" max="5141" width="1.6640625" style="636" customWidth="1"/>
    <col min="5142" max="5142" width="19.88671875" style="636" bestFit="1" customWidth="1"/>
    <col min="5143" max="5143" width="0" style="636" hidden="1" customWidth="1"/>
    <col min="5144" max="5144" width="12.5546875" style="636" customWidth="1"/>
    <col min="5145" max="5362" width="8.88671875" style="636"/>
    <col min="5363" max="5364" width="0.88671875" style="636" customWidth="1"/>
    <col min="5365" max="5365" width="2.6640625" style="636" customWidth="1"/>
    <col min="5366" max="5366" width="35.109375" style="636" customWidth="1"/>
    <col min="5367" max="5367" width="3" style="636" customWidth="1"/>
    <col min="5368" max="5368" width="15.6640625" style="636" customWidth="1"/>
    <col min="5369" max="5379" width="0" style="636" hidden="1" customWidth="1"/>
    <col min="5380" max="5380" width="14.44140625" style="636" customWidth="1"/>
    <col min="5381" max="5382" width="15.6640625" style="636" customWidth="1"/>
    <col min="5383" max="5393" width="0" style="636" hidden="1" customWidth="1"/>
    <col min="5394" max="5395" width="15.6640625" style="636" customWidth="1"/>
    <col min="5396" max="5396" width="2" style="636" customWidth="1"/>
    <col min="5397" max="5397" width="1.6640625" style="636" customWidth="1"/>
    <col min="5398" max="5398" width="19.88671875" style="636" bestFit="1" customWidth="1"/>
    <col min="5399" max="5399" width="0" style="636" hidden="1" customWidth="1"/>
    <col min="5400" max="5400" width="12.5546875" style="636" customWidth="1"/>
    <col min="5401" max="5618" width="8.88671875" style="636"/>
    <col min="5619" max="5620" width="0.88671875" style="636" customWidth="1"/>
    <col min="5621" max="5621" width="2.6640625" style="636" customWidth="1"/>
    <col min="5622" max="5622" width="35.109375" style="636" customWidth="1"/>
    <col min="5623" max="5623" width="3" style="636" customWidth="1"/>
    <col min="5624" max="5624" width="15.6640625" style="636" customWidth="1"/>
    <col min="5625" max="5635" width="0" style="636" hidden="1" customWidth="1"/>
    <col min="5636" max="5636" width="14.44140625" style="636" customWidth="1"/>
    <col min="5637" max="5638" width="15.6640625" style="636" customWidth="1"/>
    <col min="5639" max="5649" width="0" style="636" hidden="1" customWidth="1"/>
    <col min="5650" max="5651" width="15.6640625" style="636" customWidth="1"/>
    <col min="5652" max="5652" width="2" style="636" customWidth="1"/>
    <col min="5653" max="5653" width="1.6640625" style="636" customWidth="1"/>
    <col min="5654" max="5654" width="19.88671875" style="636" bestFit="1" customWidth="1"/>
    <col min="5655" max="5655" width="0" style="636" hidden="1" customWidth="1"/>
    <col min="5656" max="5656" width="12.5546875" style="636" customWidth="1"/>
    <col min="5657" max="5874" width="8.88671875" style="636"/>
    <col min="5875" max="5876" width="0.88671875" style="636" customWidth="1"/>
    <col min="5877" max="5877" width="2.6640625" style="636" customWidth="1"/>
    <col min="5878" max="5878" width="35.109375" style="636" customWidth="1"/>
    <col min="5879" max="5879" width="3" style="636" customWidth="1"/>
    <col min="5880" max="5880" width="15.6640625" style="636" customWidth="1"/>
    <col min="5881" max="5891" width="0" style="636" hidden="1" customWidth="1"/>
    <col min="5892" max="5892" width="14.44140625" style="636" customWidth="1"/>
    <col min="5893" max="5894" width="15.6640625" style="636" customWidth="1"/>
    <col min="5895" max="5905" width="0" style="636" hidden="1" customWidth="1"/>
    <col min="5906" max="5907" width="15.6640625" style="636" customWidth="1"/>
    <col min="5908" max="5908" width="2" style="636" customWidth="1"/>
    <col min="5909" max="5909" width="1.6640625" style="636" customWidth="1"/>
    <col min="5910" max="5910" width="19.88671875" style="636" bestFit="1" customWidth="1"/>
    <col min="5911" max="5911" width="0" style="636" hidden="1" customWidth="1"/>
    <col min="5912" max="5912" width="12.5546875" style="636" customWidth="1"/>
    <col min="5913" max="6130" width="8.88671875" style="636"/>
    <col min="6131" max="6132" width="0.88671875" style="636" customWidth="1"/>
    <col min="6133" max="6133" width="2.6640625" style="636" customWidth="1"/>
    <col min="6134" max="6134" width="35.109375" style="636" customWidth="1"/>
    <col min="6135" max="6135" width="3" style="636" customWidth="1"/>
    <col min="6136" max="6136" width="15.6640625" style="636" customWidth="1"/>
    <col min="6137" max="6147" width="0" style="636" hidden="1" customWidth="1"/>
    <col min="6148" max="6148" width="14.44140625" style="636" customWidth="1"/>
    <col min="6149" max="6150" width="15.6640625" style="636" customWidth="1"/>
    <col min="6151" max="6161" width="0" style="636" hidden="1" customWidth="1"/>
    <col min="6162" max="6163" width="15.6640625" style="636" customWidth="1"/>
    <col min="6164" max="6164" width="2" style="636" customWidth="1"/>
    <col min="6165" max="6165" width="1.6640625" style="636" customWidth="1"/>
    <col min="6166" max="6166" width="19.88671875" style="636" bestFit="1" customWidth="1"/>
    <col min="6167" max="6167" width="0" style="636" hidden="1" customWidth="1"/>
    <col min="6168" max="6168" width="12.5546875" style="636" customWidth="1"/>
    <col min="6169" max="6386" width="8.88671875" style="636"/>
    <col min="6387" max="6388" width="0.88671875" style="636" customWidth="1"/>
    <col min="6389" max="6389" width="2.6640625" style="636" customWidth="1"/>
    <col min="6390" max="6390" width="35.109375" style="636" customWidth="1"/>
    <col min="6391" max="6391" width="3" style="636" customWidth="1"/>
    <col min="6392" max="6392" width="15.6640625" style="636" customWidth="1"/>
    <col min="6393" max="6403" width="0" style="636" hidden="1" customWidth="1"/>
    <col min="6404" max="6404" width="14.44140625" style="636" customWidth="1"/>
    <col min="6405" max="6406" width="15.6640625" style="636" customWidth="1"/>
    <col min="6407" max="6417" width="0" style="636" hidden="1" customWidth="1"/>
    <col min="6418" max="6419" width="15.6640625" style="636" customWidth="1"/>
    <col min="6420" max="6420" width="2" style="636" customWidth="1"/>
    <col min="6421" max="6421" width="1.6640625" style="636" customWidth="1"/>
    <col min="6422" max="6422" width="19.88671875" style="636" bestFit="1" customWidth="1"/>
    <col min="6423" max="6423" width="0" style="636" hidden="1" customWidth="1"/>
    <col min="6424" max="6424" width="12.5546875" style="636" customWidth="1"/>
    <col min="6425" max="6642" width="8.88671875" style="636"/>
    <col min="6643" max="6644" width="0.88671875" style="636" customWidth="1"/>
    <col min="6645" max="6645" width="2.6640625" style="636" customWidth="1"/>
    <col min="6646" max="6646" width="35.109375" style="636" customWidth="1"/>
    <col min="6647" max="6647" width="3" style="636" customWidth="1"/>
    <col min="6648" max="6648" width="15.6640625" style="636" customWidth="1"/>
    <col min="6649" max="6659" width="0" style="636" hidden="1" customWidth="1"/>
    <col min="6660" max="6660" width="14.44140625" style="636" customWidth="1"/>
    <col min="6661" max="6662" width="15.6640625" style="636" customWidth="1"/>
    <col min="6663" max="6673" width="0" style="636" hidden="1" customWidth="1"/>
    <col min="6674" max="6675" width="15.6640625" style="636" customWidth="1"/>
    <col min="6676" max="6676" width="2" style="636" customWidth="1"/>
    <col min="6677" max="6677" width="1.6640625" style="636" customWidth="1"/>
    <col min="6678" max="6678" width="19.88671875" style="636" bestFit="1" customWidth="1"/>
    <col min="6679" max="6679" width="0" style="636" hidden="1" customWidth="1"/>
    <col min="6680" max="6680" width="12.5546875" style="636" customWidth="1"/>
    <col min="6681" max="6898" width="8.88671875" style="636"/>
    <col min="6899" max="6900" width="0.88671875" style="636" customWidth="1"/>
    <col min="6901" max="6901" width="2.6640625" style="636" customWidth="1"/>
    <col min="6902" max="6902" width="35.109375" style="636" customWidth="1"/>
    <col min="6903" max="6903" width="3" style="636" customWidth="1"/>
    <col min="6904" max="6904" width="15.6640625" style="636" customWidth="1"/>
    <col min="6905" max="6915" width="0" style="636" hidden="1" customWidth="1"/>
    <col min="6916" max="6916" width="14.44140625" style="636" customWidth="1"/>
    <col min="6917" max="6918" width="15.6640625" style="636" customWidth="1"/>
    <col min="6919" max="6929" width="0" style="636" hidden="1" customWidth="1"/>
    <col min="6930" max="6931" width="15.6640625" style="636" customWidth="1"/>
    <col min="6932" max="6932" width="2" style="636" customWidth="1"/>
    <col min="6933" max="6933" width="1.6640625" style="636" customWidth="1"/>
    <col min="6934" max="6934" width="19.88671875" style="636" bestFit="1" customWidth="1"/>
    <col min="6935" max="6935" width="0" style="636" hidden="1" customWidth="1"/>
    <col min="6936" max="6936" width="12.5546875" style="636" customWidth="1"/>
    <col min="6937" max="7154" width="8.88671875" style="636"/>
    <col min="7155" max="7156" width="0.88671875" style="636" customWidth="1"/>
    <col min="7157" max="7157" width="2.6640625" style="636" customWidth="1"/>
    <col min="7158" max="7158" width="35.109375" style="636" customWidth="1"/>
    <col min="7159" max="7159" width="3" style="636" customWidth="1"/>
    <col min="7160" max="7160" width="15.6640625" style="636" customWidth="1"/>
    <col min="7161" max="7171" width="0" style="636" hidden="1" customWidth="1"/>
    <col min="7172" max="7172" width="14.44140625" style="636" customWidth="1"/>
    <col min="7173" max="7174" width="15.6640625" style="636" customWidth="1"/>
    <col min="7175" max="7185" width="0" style="636" hidden="1" customWidth="1"/>
    <col min="7186" max="7187" width="15.6640625" style="636" customWidth="1"/>
    <col min="7188" max="7188" width="2" style="636" customWidth="1"/>
    <col min="7189" max="7189" width="1.6640625" style="636" customWidth="1"/>
    <col min="7190" max="7190" width="19.88671875" style="636" bestFit="1" customWidth="1"/>
    <col min="7191" max="7191" width="0" style="636" hidden="1" customWidth="1"/>
    <col min="7192" max="7192" width="12.5546875" style="636" customWidth="1"/>
    <col min="7193" max="7410" width="8.88671875" style="636"/>
    <col min="7411" max="7412" width="0.88671875" style="636" customWidth="1"/>
    <col min="7413" max="7413" width="2.6640625" style="636" customWidth="1"/>
    <col min="7414" max="7414" width="35.109375" style="636" customWidth="1"/>
    <col min="7415" max="7415" width="3" style="636" customWidth="1"/>
    <col min="7416" max="7416" width="15.6640625" style="636" customWidth="1"/>
    <col min="7417" max="7427" width="0" style="636" hidden="1" customWidth="1"/>
    <col min="7428" max="7428" width="14.44140625" style="636" customWidth="1"/>
    <col min="7429" max="7430" width="15.6640625" style="636" customWidth="1"/>
    <col min="7431" max="7441" width="0" style="636" hidden="1" customWidth="1"/>
    <col min="7442" max="7443" width="15.6640625" style="636" customWidth="1"/>
    <col min="7444" max="7444" width="2" style="636" customWidth="1"/>
    <col min="7445" max="7445" width="1.6640625" style="636" customWidth="1"/>
    <col min="7446" max="7446" width="19.88671875" style="636" bestFit="1" customWidth="1"/>
    <col min="7447" max="7447" width="0" style="636" hidden="1" customWidth="1"/>
    <col min="7448" max="7448" width="12.5546875" style="636" customWidth="1"/>
    <col min="7449" max="7666" width="8.88671875" style="636"/>
    <col min="7667" max="7668" width="0.88671875" style="636" customWidth="1"/>
    <col min="7669" max="7669" width="2.6640625" style="636" customWidth="1"/>
    <col min="7670" max="7670" width="35.109375" style="636" customWidth="1"/>
    <col min="7671" max="7671" width="3" style="636" customWidth="1"/>
    <col min="7672" max="7672" width="15.6640625" style="636" customWidth="1"/>
    <col min="7673" max="7683" width="0" style="636" hidden="1" customWidth="1"/>
    <col min="7684" max="7684" width="14.44140625" style="636" customWidth="1"/>
    <col min="7685" max="7686" width="15.6640625" style="636" customWidth="1"/>
    <col min="7687" max="7697" width="0" style="636" hidden="1" customWidth="1"/>
    <col min="7698" max="7699" width="15.6640625" style="636" customWidth="1"/>
    <col min="7700" max="7700" width="2" style="636" customWidth="1"/>
    <col min="7701" max="7701" width="1.6640625" style="636" customWidth="1"/>
    <col min="7702" max="7702" width="19.88671875" style="636" bestFit="1" customWidth="1"/>
    <col min="7703" max="7703" width="0" style="636" hidden="1" customWidth="1"/>
    <col min="7704" max="7704" width="12.5546875" style="636" customWidth="1"/>
    <col min="7705" max="7922" width="8.88671875" style="636"/>
    <col min="7923" max="7924" width="0.88671875" style="636" customWidth="1"/>
    <col min="7925" max="7925" width="2.6640625" style="636" customWidth="1"/>
    <col min="7926" max="7926" width="35.109375" style="636" customWidth="1"/>
    <col min="7927" max="7927" width="3" style="636" customWidth="1"/>
    <col min="7928" max="7928" width="15.6640625" style="636" customWidth="1"/>
    <col min="7929" max="7939" width="0" style="636" hidden="1" customWidth="1"/>
    <col min="7940" max="7940" width="14.44140625" style="636" customWidth="1"/>
    <col min="7941" max="7942" width="15.6640625" style="636" customWidth="1"/>
    <col min="7943" max="7953" width="0" style="636" hidden="1" customWidth="1"/>
    <col min="7954" max="7955" width="15.6640625" style="636" customWidth="1"/>
    <col min="7956" max="7956" width="2" style="636" customWidth="1"/>
    <col min="7957" max="7957" width="1.6640625" style="636" customWidth="1"/>
    <col min="7958" max="7958" width="19.88671875" style="636" bestFit="1" customWidth="1"/>
    <col min="7959" max="7959" width="0" style="636" hidden="1" customWidth="1"/>
    <col min="7960" max="7960" width="12.5546875" style="636" customWidth="1"/>
    <col min="7961" max="8178" width="8.88671875" style="636"/>
    <col min="8179" max="8180" width="0.88671875" style="636" customWidth="1"/>
    <col min="8181" max="8181" width="2.6640625" style="636" customWidth="1"/>
    <col min="8182" max="8182" width="35.109375" style="636" customWidth="1"/>
    <col min="8183" max="8183" width="3" style="636" customWidth="1"/>
    <col min="8184" max="8184" width="15.6640625" style="636" customWidth="1"/>
    <col min="8185" max="8195" width="0" style="636" hidden="1" customWidth="1"/>
    <col min="8196" max="8196" width="14.44140625" style="636" customWidth="1"/>
    <col min="8197" max="8198" width="15.6640625" style="636" customWidth="1"/>
    <col min="8199" max="8209" width="0" style="636" hidden="1" customWidth="1"/>
    <col min="8210" max="8211" width="15.6640625" style="636" customWidth="1"/>
    <col min="8212" max="8212" width="2" style="636" customWidth="1"/>
    <col min="8213" max="8213" width="1.6640625" style="636" customWidth="1"/>
    <col min="8214" max="8214" width="19.88671875" style="636" bestFit="1" customWidth="1"/>
    <col min="8215" max="8215" width="0" style="636" hidden="1" customWidth="1"/>
    <col min="8216" max="8216" width="12.5546875" style="636" customWidth="1"/>
    <col min="8217" max="8434" width="8.88671875" style="636"/>
    <col min="8435" max="8436" width="0.88671875" style="636" customWidth="1"/>
    <col min="8437" max="8437" width="2.6640625" style="636" customWidth="1"/>
    <col min="8438" max="8438" width="35.109375" style="636" customWidth="1"/>
    <col min="8439" max="8439" width="3" style="636" customWidth="1"/>
    <col min="8440" max="8440" width="15.6640625" style="636" customWidth="1"/>
    <col min="8441" max="8451" width="0" style="636" hidden="1" customWidth="1"/>
    <col min="8452" max="8452" width="14.44140625" style="636" customWidth="1"/>
    <col min="8453" max="8454" width="15.6640625" style="636" customWidth="1"/>
    <col min="8455" max="8465" width="0" style="636" hidden="1" customWidth="1"/>
    <col min="8466" max="8467" width="15.6640625" style="636" customWidth="1"/>
    <col min="8468" max="8468" width="2" style="636" customWidth="1"/>
    <col min="8469" max="8469" width="1.6640625" style="636" customWidth="1"/>
    <col min="8470" max="8470" width="19.88671875" style="636" bestFit="1" customWidth="1"/>
    <col min="8471" max="8471" width="0" style="636" hidden="1" customWidth="1"/>
    <col min="8472" max="8472" width="12.5546875" style="636" customWidth="1"/>
    <col min="8473" max="8690" width="8.88671875" style="636"/>
    <col min="8691" max="8692" width="0.88671875" style="636" customWidth="1"/>
    <col min="8693" max="8693" width="2.6640625" style="636" customWidth="1"/>
    <col min="8694" max="8694" width="35.109375" style="636" customWidth="1"/>
    <col min="8695" max="8695" width="3" style="636" customWidth="1"/>
    <col min="8696" max="8696" width="15.6640625" style="636" customWidth="1"/>
    <col min="8697" max="8707" width="0" style="636" hidden="1" customWidth="1"/>
    <col min="8708" max="8708" width="14.44140625" style="636" customWidth="1"/>
    <col min="8709" max="8710" width="15.6640625" style="636" customWidth="1"/>
    <col min="8711" max="8721" width="0" style="636" hidden="1" customWidth="1"/>
    <col min="8722" max="8723" width="15.6640625" style="636" customWidth="1"/>
    <col min="8724" max="8724" width="2" style="636" customWidth="1"/>
    <col min="8725" max="8725" width="1.6640625" style="636" customWidth="1"/>
    <col min="8726" max="8726" width="19.88671875" style="636" bestFit="1" customWidth="1"/>
    <col min="8727" max="8727" width="0" style="636" hidden="1" customWidth="1"/>
    <col min="8728" max="8728" width="12.5546875" style="636" customWidth="1"/>
    <col min="8729" max="8946" width="8.88671875" style="636"/>
    <col min="8947" max="8948" width="0.88671875" style="636" customWidth="1"/>
    <col min="8949" max="8949" width="2.6640625" style="636" customWidth="1"/>
    <col min="8950" max="8950" width="35.109375" style="636" customWidth="1"/>
    <col min="8951" max="8951" width="3" style="636" customWidth="1"/>
    <col min="8952" max="8952" width="15.6640625" style="636" customWidth="1"/>
    <col min="8953" max="8963" width="0" style="636" hidden="1" customWidth="1"/>
    <col min="8964" max="8964" width="14.44140625" style="636" customWidth="1"/>
    <col min="8965" max="8966" width="15.6640625" style="636" customWidth="1"/>
    <col min="8967" max="8977" width="0" style="636" hidden="1" customWidth="1"/>
    <col min="8978" max="8979" width="15.6640625" style="636" customWidth="1"/>
    <col min="8980" max="8980" width="2" style="636" customWidth="1"/>
    <col min="8981" max="8981" width="1.6640625" style="636" customWidth="1"/>
    <col min="8982" max="8982" width="19.88671875" style="636" bestFit="1" customWidth="1"/>
    <col min="8983" max="8983" width="0" style="636" hidden="1" customWidth="1"/>
    <col min="8984" max="8984" width="12.5546875" style="636" customWidth="1"/>
    <col min="8985" max="9202" width="8.88671875" style="636"/>
    <col min="9203" max="9204" width="0.88671875" style="636" customWidth="1"/>
    <col min="9205" max="9205" width="2.6640625" style="636" customWidth="1"/>
    <col min="9206" max="9206" width="35.109375" style="636" customWidth="1"/>
    <col min="9207" max="9207" width="3" style="636" customWidth="1"/>
    <col min="9208" max="9208" width="15.6640625" style="636" customWidth="1"/>
    <col min="9209" max="9219" width="0" style="636" hidden="1" customWidth="1"/>
    <col min="9220" max="9220" width="14.44140625" style="636" customWidth="1"/>
    <col min="9221" max="9222" width="15.6640625" style="636" customWidth="1"/>
    <col min="9223" max="9233" width="0" style="636" hidden="1" customWidth="1"/>
    <col min="9234" max="9235" width="15.6640625" style="636" customWidth="1"/>
    <col min="9236" max="9236" width="2" style="636" customWidth="1"/>
    <col min="9237" max="9237" width="1.6640625" style="636" customWidth="1"/>
    <col min="9238" max="9238" width="19.88671875" style="636" bestFit="1" customWidth="1"/>
    <col min="9239" max="9239" width="0" style="636" hidden="1" customWidth="1"/>
    <col min="9240" max="9240" width="12.5546875" style="636" customWidth="1"/>
    <col min="9241" max="9458" width="8.88671875" style="636"/>
    <col min="9459" max="9460" width="0.88671875" style="636" customWidth="1"/>
    <col min="9461" max="9461" width="2.6640625" style="636" customWidth="1"/>
    <col min="9462" max="9462" width="35.109375" style="636" customWidth="1"/>
    <col min="9463" max="9463" width="3" style="636" customWidth="1"/>
    <col min="9464" max="9464" width="15.6640625" style="636" customWidth="1"/>
    <col min="9465" max="9475" width="0" style="636" hidden="1" customWidth="1"/>
    <col min="9476" max="9476" width="14.44140625" style="636" customWidth="1"/>
    <col min="9477" max="9478" width="15.6640625" style="636" customWidth="1"/>
    <col min="9479" max="9489" width="0" style="636" hidden="1" customWidth="1"/>
    <col min="9490" max="9491" width="15.6640625" style="636" customWidth="1"/>
    <col min="9492" max="9492" width="2" style="636" customWidth="1"/>
    <col min="9493" max="9493" width="1.6640625" style="636" customWidth="1"/>
    <col min="9494" max="9494" width="19.88671875" style="636" bestFit="1" customWidth="1"/>
    <col min="9495" max="9495" width="0" style="636" hidden="1" customWidth="1"/>
    <col min="9496" max="9496" width="12.5546875" style="636" customWidth="1"/>
    <col min="9497" max="9714" width="8.88671875" style="636"/>
    <col min="9715" max="9716" width="0.88671875" style="636" customWidth="1"/>
    <col min="9717" max="9717" width="2.6640625" style="636" customWidth="1"/>
    <col min="9718" max="9718" width="35.109375" style="636" customWidth="1"/>
    <col min="9719" max="9719" width="3" style="636" customWidth="1"/>
    <col min="9720" max="9720" width="15.6640625" style="636" customWidth="1"/>
    <col min="9721" max="9731" width="0" style="636" hidden="1" customWidth="1"/>
    <col min="9732" max="9732" width="14.44140625" style="636" customWidth="1"/>
    <col min="9733" max="9734" width="15.6640625" style="636" customWidth="1"/>
    <col min="9735" max="9745" width="0" style="636" hidden="1" customWidth="1"/>
    <col min="9746" max="9747" width="15.6640625" style="636" customWidth="1"/>
    <col min="9748" max="9748" width="2" style="636" customWidth="1"/>
    <col min="9749" max="9749" width="1.6640625" style="636" customWidth="1"/>
    <col min="9750" max="9750" width="19.88671875" style="636" bestFit="1" customWidth="1"/>
    <col min="9751" max="9751" width="0" style="636" hidden="1" customWidth="1"/>
    <col min="9752" max="9752" width="12.5546875" style="636" customWidth="1"/>
    <col min="9753" max="9970" width="8.88671875" style="636"/>
    <col min="9971" max="9972" width="0.88671875" style="636" customWidth="1"/>
    <col min="9973" max="9973" width="2.6640625" style="636" customWidth="1"/>
    <col min="9974" max="9974" width="35.109375" style="636" customWidth="1"/>
    <col min="9975" max="9975" width="3" style="636" customWidth="1"/>
    <col min="9976" max="9976" width="15.6640625" style="636" customWidth="1"/>
    <col min="9977" max="9987" width="0" style="636" hidden="1" customWidth="1"/>
    <col min="9988" max="9988" width="14.44140625" style="636" customWidth="1"/>
    <col min="9989" max="9990" width="15.6640625" style="636" customWidth="1"/>
    <col min="9991" max="10001" width="0" style="636" hidden="1" customWidth="1"/>
    <col min="10002" max="10003" width="15.6640625" style="636" customWidth="1"/>
    <col min="10004" max="10004" width="2" style="636" customWidth="1"/>
    <col min="10005" max="10005" width="1.6640625" style="636" customWidth="1"/>
    <col min="10006" max="10006" width="19.88671875" style="636" bestFit="1" customWidth="1"/>
    <col min="10007" max="10007" width="0" style="636" hidden="1" customWidth="1"/>
    <col min="10008" max="10008" width="12.5546875" style="636" customWidth="1"/>
    <col min="10009" max="10226" width="8.88671875" style="636"/>
    <col min="10227" max="10228" width="0.88671875" style="636" customWidth="1"/>
    <col min="10229" max="10229" width="2.6640625" style="636" customWidth="1"/>
    <col min="10230" max="10230" width="35.109375" style="636" customWidth="1"/>
    <col min="10231" max="10231" width="3" style="636" customWidth="1"/>
    <col min="10232" max="10232" width="15.6640625" style="636" customWidth="1"/>
    <col min="10233" max="10243" width="0" style="636" hidden="1" customWidth="1"/>
    <col min="10244" max="10244" width="14.44140625" style="636" customWidth="1"/>
    <col min="10245" max="10246" width="15.6640625" style="636" customWidth="1"/>
    <col min="10247" max="10257" width="0" style="636" hidden="1" customWidth="1"/>
    <col min="10258" max="10259" width="15.6640625" style="636" customWidth="1"/>
    <col min="10260" max="10260" width="2" style="636" customWidth="1"/>
    <col min="10261" max="10261" width="1.6640625" style="636" customWidth="1"/>
    <col min="10262" max="10262" width="19.88671875" style="636" bestFit="1" customWidth="1"/>
    <col min="10263" max="10263" width="0" style="636" hidden="1" customWidth="1"/>
    <col min="10264" max="10264" width="12.5546875" style="636" customWidth="1"/>
    <col min="10265" max="10482" width="8.88671875" style="636"/>
    <col min="10483" max="10484" width="0.88671875" style="636" customWidth="1"/>
    <col min="10485" max="10485" width="2.6640625" style="636" customWidth="1"/>
    <col min="10486" max="10486" width="35.109375" style="636" customWidth="1"/>
    <col min="10487" max="10487" width="3" style="636" customWidth="1"/>
    <col min="10488" max="10488" width="15.6640625" style="636" customWidth="1"/>
    <col min="10489" max="10499" width="0" style="636" hidden="1" customWidth="1"/>
    <col min="10500" max="10500" width="14.44140625" style="636" customWidth="1"/>
    <col min="10501" max="10502" width="15.6640625" style="636" customWidth="1"/>
    <col min="10503" max="10513" width="0" style="636" hidden="1" customWidth="1"/>
    <col min="10514" max="10515" width="15.6640625" style="636" customWidth="1"/>
    <col min="10516" max="10516" width="2" style="636" customWidth="1"/>
    <col min="10517" max="10517" width="1.6640625" style="636" customWidth="1"/>
    <col min="10518" max="10518" width="19.88671875" style="636" bestFit="1" customWidth="1"/>
    <col min="10519" max="10519" width="0" style="636" hidden="1" customWidth="1"/>
    <col min="10520" max="10520" width="12.5546875" style="636" customWidth="1"/>
    <col min="10521" max="10738" width="8.88671875" style="636"/>
    <col min="10739" max="10740" width="0.88671875" style="636" customWidth="1"/>
    <col min="10741" max="10741" width="2.6640625" style="636" customWidth="1"/>
    <col min="10742" max="10742" width="35.109375" style="636" customWidth="1"/>
    <col min="10743" max="10743" width="3" style="636" customWidth="1"/>
    <col min="10744" max="10744" width="15.6640625" style="636" customWidth="1"/>
    <col min="10745" max="10755" width="0" style="636" hidden="1" customWidth="1"/>
    <col min="10756" max="10756" width="14.44140625" style="636" customWidth="1"/>
    <col min="10757" max="10758" width="15.6640625" style="636" customWidth="1"/>
    <col min="10759" max="10769" width="0" style="636" hidden="1" customWidth="1"/>
    <col min="10770" max="10771" width="15.6640625" style="636" customWidth="1"/>
    <col min="10772" max="10772" width="2" style="636" customWidth="1"/>
    <col min="10773" max="10773" width="1.6640625" style="636" customWidth="1"/>
    <col min="10774" max="10774" width="19.88671875" style="636" bestFit="1" customWidth="1"/>
    <col min="10775" max="10775" width="0" style="636" hidden="1" customWidth="1"/>
    <col min="10776" max="10776" width="12.5546875" style="636" customWidth="1"/>
    <col min="10777" max="10994" width="8.88671875" style="636"/>
    <col min="10995" max="10996" width="0.88671875" style="636" customWidth="1"/>
    <col min="10997" max="10997" width="2.6640625" style="636" customWidth="1"/>
    <col min="10998" max="10998" width="35.109375" style="636" customWidth="1"/>
    <col min="10999" max="10999" width="3" style="636" customWidth="1"/>
    <col min="11000" max="11000" width="15.6640625" style="636" customWidth="1"/>
    <col min="11001" max="11011" width="0" style="636" hidden="1" customWidth="1"/>
    <col min="11012" max="11012" width="14.44140625" style="636" customWidth="1"/>
    <col min="11013" max="11014" width="15.6640625" style="636" customWidth="1"/>
    <col min="11015" max="11025" width="0" style="636" hidden="1" customWidth="1"/>
    <col min="11026" max="11027" width="15.6640625" style="636" customWidth="1"/>
    <col min="11028" max="11028" width="2" style="636" customWidth="1"/>
    <col min="11029" max="11029" width="1.6640625" style="636" customWidth="1"/>
    <col min="11030" max="11030" width="19.88671875" style="636" bestFit="1" customWidth="1"/>
    <col min="11031" max="11031" width="0" style="636" hidden="1" customWidth="1"/>
    <col min="11032" max="11032" width="12.5546875" style="636" customWidth="1"/>
    <col min="11033" max="11250" width="8.88671875" style="636"/>
    <col min="11251" max="11252" width="0.88671875" style="636" customWidth="1"/>
    <col min="11253" max="11253" width="2.6640625" style="636" customWidth="1"/>
    <col min="11254" max="11254" width="35.109375" style="636" customWidth="1"/>
    <col min="11255" max="11255" width="3" style="636" customWidth="1"/>
    <col min="11256" max="11256" width="15.6640625" style="636" customWidth="1"/>
    <col min="11257" max="11267" width="0" style="636" hidden="1" customWidth="1"/>
    <col min="11268" max="11268" width="14.44140625" style="636" customWidth="1"/>
    <col min="11269" max="11270" width="15.6640625" style="636" customWidth="1"/>
    <col min="11271" max="11281" width="0" style="636" hidden="1" customWidth="1"/>
    <col min="11282" max="11283" width="15.6640625" style="636" customWidth="1"/>
    <col min="11284" max="11284" width="2" style="636" customWidth="1"/>
    <col min="11285" max="11285" width="1.6640625" style="636" customWidth="1"/>
    <col min="11286" max="11286" width="19.88671875" style="636" bestFit="1" customWidth="1"/>
    <col min="11287" max="11287" width="0" style="636" hidden="1" customWidth="1"/>
    <col min="11288" max="11288" width="12.5546875" style="636" customWidth="1"/>
    <col min="11289" max="11506" width="8.88671875" style="636"/>
    <col min="11507" max="11508" width="0.88671875" style="636" customWidth="1"/>
    <col min="11509" max="11509" width="2.6640625" style="636" customWidth="1"/>
    <col min="11510" max="11510" width="35.109375" style="636" customWidth="1"/>
    <col min="11511" max="11511" width="3" style="636" customWidth="1"/>
    <col min="11512" max="11512" width="15.6640625" style="636" customWidth="1"/>
    <col min="11513" max="11523" width="0" style="636" hidden="1" customWidth="1"/>
    <col min="11524" max="11524" width="14.44140625" style="636" customWidth="1"/>
    <col min="11525" max="11526" width="15.6640625" style="636" customWidth="1"/>
    <col min="11527" max="11537" width="0" style="636" hidden="1" customWidth="1"/>
    <col min="11538" max="11539" width="15.6640625" style="636" customWidth="1"/>
    <col min="11540" max="11540" width="2" style="636" customWidth="1"/>
    <col min="11541" max="11541" width="1.6640625" style="636" customWidth="1"/>
    <col min="11542" max="11542" width="19.88671875" style="636" bestFit="1" customWidth="1"/>
    <col min="11543" max="11543" width="0" style="636" hidden="1" customWidth="1"/>
    <col min="11544" max="11544" width="12.5546875" style="636" customWidth="1"/>
    <col min="11545" max="11762" width="8.88671875" style="636"/>
    <col min="11763" max="11764" width="0.88671875" style="636" customWidth="1"/>
    <col min="11765" max="11765" width="2.6640625" style="636" customWidth="1"/>
    <col min="11766" max="11766" width="35.109375" style="636" customWidth="1"/>
    <col min="11767" max="11767" width="3" style="636" customWidth="1"/>
    <col min="11768" max="11768" width="15.6640625" style="636" customWidth="1"/>
    <col min="11769" max="11779" width="0" style="636" hidden="1" customWidth="1"/>
    <col min="11780" max="11780" width="14.44140625" style="636" customWidth="1"/>
    <col min="11781" max="11782" width="15.6640625" style="636" customWidth="1"/>
    <col min="11783" max="11793" width="0" style="636" hidden="1" customWidth="1"/>
    <col min="11794" max="11795" width="15.6640625" style="636" customWidth="1"/>
    <col min="11796" max="11796" width="2" style="636" customWidth="1"/>
    <col min="11797" max="11797" width="1.6640625" style="636" customWidth="1"/>
    <col min="11798" max="11798" width="19.88671875" style="636" bestFit="1" customWidth="1"/>
    <col min="11799" max="11799" width="0" style="636" hidden="1" customWidth="1"/>
    <col min="11800" max="11800" width="12.5546875" style="636" customWidth="1"/>
    <col min="11801" max="12018" width="8.88671875" style="636"/>
    <col min="12019" max="12020" width="0.88671875" style="636" customWidth="1"/>
    <col min="12021" max="12021" width="2.6640625" style="636" customWidth="1"/>
    <col min="12022" max="12022" width="35.109375" style="636" customWidth="1"/>
    <col min="12023" max="12023" width="3" style="636" customWidth="1"/>
    <col min="12024" max="12024" width="15.6640625" style="636" customWidth="1"/>
    <col min="12025" max="12035" width="0" style="636" hidden="1" customWidth="1"/>
    <col min="12036" max="12036" width="14.44140625" style="636" customWidth="1"/>
    <col min="12037" max="12038" width="15.6640625" style="636" customWidth="1"/>
    <col min="12039" max="12049" width="0" style="636" hidden="1" customWidth="1"/>
    <col min="12050" max="12051" width="15.6640625" style="636" customWidth="1"/>
    <col min="12052" max="12052" width="2" style="636" customWidth="1"/>
    <col min="12053" max="12053" width="1.6640625" style="636" customWidth="1"/>
    <col min="12054" max="12054" width="19.88671875" style="636" bestFit="1" customWidth="1"/>
    <col min="12055" max="12055" width="0" style="636" hidden="1" customWidth="1"/>
    <col min="12056" max="12056" width="12.5546875" style="636" customWidth="1"/>
    <col min="12057" max="12274" width="8.88671875" style="636"/>
    <col min="12275" max="12276" width="0.88671875" style="636" customWidth="1"/>
    <col min="12277" max="12277" width="2.6640625" style="636" customWidth="1"/>
    <col min="12278" max="12278" width="35.109375" style="636" customWidth="1"/>
    <col min="12279" max="12279" width="3" style="636" customWidth="1"/>
    <col min="12280" max="12280" width="15.6640625" style="636" customWidth="1"/>
    <col min="12281" max="12291" width="0" style="636" hidden="1" customWidth="1"/>
    <col min="12292" max="12292" width="14.44140625" style="636" customWidth="1"/>
    <col min="12293" max="12294" width="15.6640625" style="636" customWidth="1"/>
    <col min="12295" max="12305" width="0" style="636" hidden="1" customWidth="1"/>
    <col min="12306" max="12307" width="15.6640625" style="636" customWidth="1"/>
    <col min="12308" max="12308" width="2" style="636" customWidth="1"/>
    <col min="12309" max="12309" width="1.6640625" style="636" customWidth="1"/>
    <col min="12310" max="12310" width="19.88671875" style="636" bestFit="1" customWidth="1"/>
    <col min="12311" max="12311" width="0" style="636" hidden="1" customWidth="1"/>
    <col min="12312" max="12312" width="12.5546875" style="636" customWidth="1"/>
    <col min="12313" max="12530" width="8.88671875" style="636"/>
    <col min="12531" max="12532" width="0.88671875" style="636" customWidth="1"/>
    <col min="12533" max="12533" width="2.6640625" style="636" customWidth="1"/>
    <col min="12534" max="12534" width="35.109375" style="636" customWidth="1"/>
    <col min="12535" max="12535" width="3" style="636" customWidth="1"/>
    <col min="12536" max="12536" width="15.6640625" style="636" customWidth="1"/>
    <col min="12537" max="12547" width="0" style="636" hidden="1" customWidth="1"/>
    <col min="12548" max="12548" width="14.44140625" style="636" customWidth="1"/>
    <col min="12549" max="12550" width="15.6640625" style="636" customWidth="1"/>
    <col min="12551" max="12561" width="0" style="636" hidden="1" customWidth="1"/>
    <col min="12562" max="12563" width="15.6640625" style="636" customWidth="1"/>
    <col min="12564" max="12564" width="2" style="636" customWidth="1"/>
    <col min="12565" max="12565" width="1.6640625" style="636" customWidth="1"/>
    <col min="12566" max="12566" width="19.88671875" style="636" bestFit="1" customWidth="1"/>
    <col min="12567" max="12567" width="0" style="636" hidden="1" customWidth="1"/>
    <col min="12568" max="12568" width="12.5546875" style="636" customWidth="1"/>
    <col min="12569" max="12786" width="8.88671875" style="636"/>
    <col min="12787" max="12788" width="0.88671875" style="636" customWidth="1"/>
    <col min="12789" max="12789" width="2.6640625" style="636" customWidth="1"/>
    <col min="12790" max="12790" width="35.109375" style="636" customWidth="1"/>
    <col min="12791" max="12791" width="3" style="636" customWidth="1"/>
    <col min="12792" max="12792" width="15.6640625" style="636" customWidth="1"/>
    <col min="12793" max="12803" width="0" style="636" hidden="1" customWidth="1"/>
    <col min="12804" max="12804" width="14.44140625" style="636" customWidth="1"/>
    <col min="12805" max="12806" width="15.6640625" style="636" customWidth="1"/>
    <col min="12807" max="12817" width="0" style="636" hidden="1" customWidth="1"/>
    <col min="12818" max="12819" width="15.6640625" style="636" customWidth="1"/>
    <col min="12820" max="12820" width="2" style="636" customWidth="1"/>
    <col min="12821" max="12821" width="1.6640625" style="636" customWidth="1"/>
    <col min="12822" max="12822" width="19.88671875" style="636" bestFit="1" customWidth="1"/>
    <col min="12823" max="12823" width="0" style="636" hidden="1" customWidth="1"/>
    <col min="12824" max="12824" width="12.5546875" style="636" customWidth="1"/>
    <col min="12825" max="13042" width="8.88671875" style="636"/>
    <col min="13043" max="13044" width="0.88671875" style="636" customWidth="1"/>
    <col min="13045" max="13045" width="2.6640625" style="636" customWidth="1"/>
    <col min="13046" max="13046" width="35.109375" style="636" customWidth="1"/>
    <col min="13047" max="13047" width="3" style="636" customWidth="1"/>
    <col min="13048" max="13048" width="15.6640625" style="636" customWidth="1"/>
    <col min="13049" max="13059" width="0" style="636" hidden="1" customWidth="1"/>
    <col min="13060" max="13060" width="14.44140625" style="636" customWidth="1"/>
    <col min="13061" max="13062" width="15.6640625" style="636" customWidth="1"/>
    <col min="13063" max="13073" width="0" style="636" hidden="1" customWidth="1"/>
    <col min="13074" max="13075" width="15.6640625" style="636" customWidth="1"/>
    <col min="13076" max="13076" width="2" style="636" customWidth="1"/>
    <col min="13077" max="13077" width="1.6640625" style="636" customWidth="1"/>
    <col min="13078" max="13078" width="19.88671875" style="636" bestFit="1" customWidth="1"/>
    <col min="13079" max="13079" width="0" style="636" hidden="1" customWidth="1"/>
    <col min="13080" max="13080" width="12.5546875" style="636" customWidth="1"/>
    <col min="13081" max="13298" width="8.88671875" style="636"/>
    <col min="13299" max="13300" width="0.88671875" style="636" customWidth="1"/>
    <col min="13301" max="13301" width="2.6640625" style="636" customWidth="1"/>
    <col min="13302" max="13302" width="35.109375" style="636" customWidth="1"/>
    <col min="13303" max="13303" width="3" style="636" customWidth="1"/>
    <col min="13304" max="13304" width="15.6640625" style="636" customWidth="1"/>
    <col min="13305" max="13315" width="0" style="636" hidden="1" customWidth="1"/>
    <col min="13316" max="13316" width="14.44140625" style="636" customWidth="1"/>
    <col min="13317" max="13318" width="15.6640625" style="636" customWidth="1"/>
    <col min="13319" max="13329" width="0" style="636" hidden="1" customWidth="1"/>
    <col min="13330" max="13331" width="15.6640625" style="636" customWidth="1"/>
    <col min="13332" max="13332" width="2" style="636" customWidth="1"/>
    <col min="13333" max="13333" width="1.6640625" style="636" customWidth="1"/>
    <col min="13334" max="13334" width="19.88671875" style="636" bestFit="1" customWidth="1"/>
    <col min="13335" max="13335" width="0" style="636" hidden="1" customWidth="1"/>
    <col min="13336" max="13336" width="12.5546875" style="636" customWidth="1"/>
    <col min="13337" max="13554" width="8.88671875" style="636"/>
    <col min="13555" max="13556" width="0.88671875" style="636" customWidth="1"/>
    <col min="13557" max="13557" width="2.6640625" style="636" customWidth="1"/>
    <col min="13558" max="13558" width="35.109375" style="636" customWidth="1"/>
    <col min="13559" max="13559" width="3" style="636" customWidth="1"/>
    <col min="13560" max="13560" width="15.6640625" style="636" customWidth="1"/>
    <col min="13561" max="13571" width="0" style="636" hidden="1" customWidth="1"/>
    <col min="13572" max="13572" width="14.44140625" style="636" customWidth="1"/>
    <col min="13573" max="13574" width="15.6640625" style="636" customWidth="1"/>
    <col min="13575" max="13585" width="0" style="636" hidden="1" customWidth="1"/>
    <col min="13586" max="13587" width="15.6640625" style="636" customWidth="1"/>
    <col min="13588" max="13588" width="2" style="636" customWidth="1"/>
    <col min="13589" max="13589" width="1.6640625" style="636" customWidth="1"/>
    <col min="13590" max="13590" width="19.88671875" style="636" bestFit="1" customWidth="1"/>
    <col min="13591" max="13591" width="0" style="636" hidden="1" customWidth="1"/>
    <col min="13592" max="13592" width="12.5546875" style="636" customWidth="1"/>
    <col min="13593" max="13810" width="8.88671875" style="636"/>
    <col min="13811" max="13812" width="0.88671875" style="636" customWidth="1"/>
    <col min="13813" max="13813" width="2.6640625" style="636" customWidth="1"/>
    <col min="13814" max="13814" width="35.109375" style="636" customWidth="1"/>
    <col min="13815" max="13815" width="3" style="636" customWidth="1"/>
    <col min="13816" max="13816" width="15.6640625" style="636" customWidth="1"/>
    <col min="13817" max="13827" width="0" style="636" hidden="1" customWidth="1"/>
    <col min="13828" max="13828" width="14.44140625" style="636" customWidth="1"/>
    <col min="13829" max="13830" width="15.6640625" style="636" customWidth="1"/>
    <col min="13831" max="13841" width="0" style="636" hidden="1" customWidth="1"/>
    <col min="13842" max="13843" width="15.6640625" style="636" customWidth="1"/>
    <col min="13844" max="13844" width="2" style="636" customWidth="1"/>
    <col min="13845" max="13845" width="1.6640625" style="636" customWidth="1"/>
    <col min="13846" max="13846" width="19.88671875" style="636" bestFit="1" customWidth="1"/>
    <col min="13847" max="13847" width="0" style="636" hidden="1" customWidth="1"/>
    <col min="13848" max="13848" width="12.5546875" style="636" customWidth="1"/>
    <col min="13849" max="14066" width="8.88671875" style="636"/>
    <col min="14067" max="14068" width="0.88671875" style="636" customWidth="1"/>
    <col min="14069" max="14069" width="2.6640625" style="636" customWidth="1"/>
    <col min="14070" max="14070" width="35.109375" style="636" customWidth="1"/>
    <col min="14071" max="14071" width="3" style="636" customWidth="1"/>
    <col min="14072" max="14072" width="15.6640625" style="636" customWidth="1"/>
    <col min="14073" max="14083" width="0" style="636" hidden="1" customWidth="1"/>
    <col min="14084" max="14084" width="14.44140625" style="636" customWidth="1"/>
    <col min="14085" max="14086" width="15.6640625" style="636" customWidth="1"/>
    <col min="14087" max="14097" width="0" style="636" hidden="1" customWidth="1"/>
    <col min="14098" max="14099" width="15.6640625" style="636" customWidth="1"/>
    <col min="14100" max="14100" width="2" style="636" customWidth="1"/>
    <col min="14101" max="14101" width="1.6640625" style="636" customWidth="1"/>
    <col min="14102" max="14102" width="19.88671875" style="636" bestFit="1" customWidth="1"/>
    <col min="14103" max="14103" width="0" style="636" hidden="1" customWidth="1"/>
    <col min="14104" max="14104" width="12.5546875" style="636" customWidth="1"/>
    <col min="14105" max="14322" width="8.88671875" style="636"/>
    <col min="14323" max="14324" width="0.88671875" style="636" customWidth="1"/>
    <col min="14325" max="14325" width="2.6640625" style="636" customWidth="1"/>
    <col min="14326" max="14326" width="35.109375" style="636" customWidth="1"/>
    <col min="14327" max="14327" width="3" style="636" customWidth="1"/>
    <col min="14328" max="14328" width="15.6640625" style="636" customWidth="1"/>
    <col min="14329" max="14339" width="0" style="636" hidden="1" customWidth="1"/>
    <col min="14340" max="14340" width="14.44140625" style="636" customWidth="1"/>
    <col min="14341" max="14342" width="15.6640625" style="636" customWidth="1"/>
    <col min="14343" max="14353" width="0" style="636" hidden="1" customWidth="1"/>
    <col min="14354" max="14355" width="15.6640625" style="636" customWidth="1"/>
    <col min="14356" max="14356" width="2" style="636" customWidth="1"/>
    <col min="14357" max="14357" width="1.6640625" style="636" customWidth="1"/>
    <col min="14358" max="14358" width="19.88671875" style="636" bestFit="1" customWidth="1"/>
    <col min="14359" max="14359" width="0" style="636" hidden="1" customWidth="1"/>
    <col min="14360" max="14360" width="12.5546875" style="636" customWidth="1"/>
    <col min="14361" max="14578" width="8.88671875" style="636"/>
    <col min="14579" max="14580" width="0.88671875" style="636" customWidth="1"/>
    <col min="14581" max="14581" width="2.6640625" style="636" customWidth="1"/>
    <col min="14582" max="14582" width="35.109375" style="636" customWidth="1"/>
    <col min="14583" max="14583" width="3" style="636" customWidth="1"/>
    <col min="14584" max="14584" width="15.6640625" style="636" customWidth="1"/>
    <col min="14585" max="14595" width="0" style="636" hidden="1" customWidth="1"/>
    <col min="14596" max="14596" width="14.44140625" style="636" customWidth="1"/>
    <col min="14597" max="14598" width="15.6640625" style="636" customWidth="1"/>
    <col min="14599" max="14609" width="0" style="636" hidden="1" customWidth="1"/>
    <col min="14610" max="14611" width="15.6640625" style="636" customWidth="1"/>
    <col min="14612" max="14612" width="2" style="636" customWidth="1"/>
    <col min="14613" max="14613" width="1.6640625" style="636" customWidth="1"/>
    <col min="14614" max="14614" width="19.88671875" style="636" bestFit="1" customWidth="1"/>
    <col min="14615" max="14615" width="0" style="636" hidden="1" customWidth="1"/>
    <col min="14616" max="14616" width="12.5546875" style="636" customWidth="1"/>
    <col min="14617" max="14834" width="8.88671875" style="636"/>
    <col min="14835" max="14836" width="0.88671875" style="636" customWidth="1"/>
    <col min="14837" max="14837" width="2.6640625" style="636" customWidth="1"/>
    <col min="14838" max="14838" width="35.109375" style="636" customWidth="1"/>
    <col min="14839" max="14839" width="3" style="636" customWidth="1"/>
    <col min="14840" max="14840" width="15.6640625" style="636" customWidth="1"/>
    <col min="14841" max="14851" width="0" style="636" hidden="1" customWidth="1"/>
    <col min="14852" max="14852" width="14.44140625" style="636" customWidth="1"/>
    <col min="14853" max="14854" width="15.6640625" style="636" customWidth="1"/>
    <col min="14855" max="14865" width="0" style="636" hidden="1" customWidth="1"/>
    <col min="14866" max="14867" width="15.6640625" style="636" customWidth="1"/>
    <col min="14868" max="14868" width="2" style="636" customWidth="1"/>
    <col min="14869" max="14869" width="1.6640625" style="636" customWidth="1"/>
    <col min="14870" max="14870" width="19.88671875" style="636" bestFit="1" customWidth="1"/>
    <col min="14871" max="14871" width="0" style="636" hidden="1" customWidth="1"/>
    <col min="14872" max="14872" width="12.5546875" style="636" customWidth="1"/>
    <col min="14873" max="15090" width="8.88671875" style="636"/>
    <col min="15091" max="15092" width="0.88671875" style="636" customWidth="1"/>
    <col min="15093" max="15093" width="2.6640625" style="636" customWidth="1"/>
    <col min="15094" max="15094" width="35.109375" style="636" customWidth="1"/>
    <col min="15095" max="15095" width="3" style="636" customWidth="1"/>
    <col min="15096" max="15096" width="15.6640625" style="636" customWidth="1"/>
    <col min="15097" max="15107" width="0" style="636" hidden="1" customWidth="1"/>
    <col min="15108" max="15108" width="14.44140625" style="636" customWidth="1"/>
    <col min="15109" max="15110" width="15.6640625" style="636" customWidth="1"/>
    <col min="15111" max="15121" width="0" style="636" hidden="1" customWidth="1"/>
    <col min="15122" max="15123" width="15.6640625" style="636" customWidth="1"/>
    <col min="15124" max="15124" width="2" style="636" customWidth="1"/>
    <col min="15125" max="15125" width="1.6640625" style="636" customWidth="1"/>
    <col min="15126" max="15126" width="19.88671875" style="636" bestFit="1" customWidth="1"/>
    <col min="15127" max="15127" width="0" style="636" hidden="1" customWidth="1"/>
    <col min="15128" max="15128" width="12.5546875" style="636" customWidth="1"/>
    <col min="15129" max="15346" width="8.88671875" style="636"/>
    <col min="15347" max="15348" width="0.88671875" style="636" customWidth="1"/>
    <col min="15349" max="15349" width="2.6640625" style="636" customWidth="1"/>
    <col min="15350" max="15350" width="35.109375" style="636" customWidth="1"/>
    <col min="15351" max="15351" width="3" style="636" customWidth="1"/>
    <col min="15352" max="15352" width="15.6640625" style="636" customWidth="1"/>
    <col min="15353" max="15363" width="0" style="636" hidden="1" customWidth="1"/>
    <col min="15364" max="15364" width="14.44140625" style="636" customWidth="1"/>
    <col min="15365" max="15366" width="15.6640625" style="636" customWidth="1"/>
    <col min="15367" max="15377" width="0" style="636" hidden="1" customWidth="1"/>
    <col min="15378" max="15379" width="15.6640625" style="636" customWidth="1"/>
    <col min="15380" max="15380" width="2" style="636" customWidth="1"/>
    <col min="15381" max="15381" width="1.6640625" style="636" customWidth="1"/>
    <col min="15382" max="15382" width="19.88671875" style="636" bestFit="1" customWidth="1"/>
    <col min="15383" max="15383" width="0" style="636" hidden="1" customWidth="1"/>
    <col min="15384" max="15384" width="12.5546875" style="636" customWidth="1"/>
    <col min="15385" max="15602" width="8.88671875" style="636"/>
    <col min="15603" max="15604" width="0.88671875" style="636" customWidth="1"/>
    <col min="15605" max="15605" width="2.6640625" style="636" customWidth="1"/>
    <col min="15606" max="15606" width="35.109375" style="636" customWidth="1"/>
    <col min="15607" max="15607" width="3" style="636" customWidth="1"/>
    <col min="15608" max="15608" width="15.6640625" style="636" customWidth="1"/>
    <col min="15609" max="15619" width="0" style="636" hidden="1" customWidth="1"/>
    <col min="15620" max="15620" width="14.44140625" style="636" customWidth="1"/>
    <col min="15621" max="15622" width="15.6640625" style="636" customWidth="1"/>
    <col min="15623" max="15633" width="0" style="636" hidden="1" customWidth="1"/>
    <col min="15634" max="15635" width="15.6640625" style="636" customWidth="1"/>
    <col min="15636" max="15636" width="2" style="636" customWidth="1"/>
    <col min="15637" max="15637" width="1.6640625" style="636" customWidth="1"/>
    <col min="15638" max="15638" width="19.88671875" style="636" bestFit="1" customWidth="1"/>
    <col min="15639" max="15639" width="0" style="636" hidden="1" customWidth="1"/>
    <col min="15640" max="15640" width="12.5546875" style="636" customWidth="1"/>
    <col min="15641" max="15858" width="8.88671875" style="636"/>
    <col min="15859" max="15860" width="0.88671875" style="636" customWidth="1"/>
    <col min="15861" max="15861" width="2.6640625" style="636" customWidth="1"/>
    <col min="15862" max="15862" width="35.109375" style="636" customWidth="1"/>
    <col min="15863" max="15863" width="3" style="636" customWidth="1"/>
    <col min="15864" max="15864" width="15.6640625" style="636" customWidth="1"/>
    <col min="15865" max="15875" width="0" style="636" hidden="1" customWidth="1"/>
    <col min="15876" max="15876" width="14.44140625" style="636" customWidth="1"/>
    <col min="15877" max="15878" width="15.6640625" style="636" customWidth="1"/>
    <col min="15879" max="15889" width="0" style="636" hidden="1" customWidth="1"/>
    <col min="15890" max="15891" width="15.6640625" style="636" customWidth="1"/>
    <col min="15892" max="15892" width="2" style="636" customWidth="1"/>
    <col min="15893" max="15893" width="1.6640625" style="636" customWidth="1"/>
    <col min="15894" max="15894" width="19.88671875" style="636" bestFit="1" customWidth="1"/>
    <col min="15895" max="15895" width="0" style="636" hidden="1" customWidth="1"/>
    <col min="15896" max="15896" width="12.5546875" style="636" customWidth="1"/>
    <col min="15897" max="16114" width="8.88671875" style="636"/>
    <col min="16115" max="16116" width="0.88671875" style="636" customWidth="1"/>
    <col min="16117" max="16117" width="2.6640625" style="636" customWidth="1"/>
    <col min="16118" max="16118" width="35.109375" style="636" customWidth="1"/>
    <col min="16119" max="16119" width="3" style="636" customWidth="1"/>
    <col min="16120" max="16120" width="15.6640625" style="636" customWidth="1"/>
    <col min="16121" max="16131" width="0" style="636" hidden="1" customWidth="1"/>
    <col min="16132" max="16132" width="14.44140625" style="636" customWidth="1"/>
    <col min="16133" max="16134" width="15.6640625" style="636" customWidth="1"/>
    <col min="16135" max="16145" width="0" style="636" hidden="1" customWidth="1"/>
    <col min="16146" max="16147" width="15.6640625" style="636" customWidth="1"/>
    <col min="16148" max="16148" width="2" style="636" customWidth="1"/>
    <col min="16149" max="16149" width="1.6640625" style="636" customWidth="1"/>
    <col min="16150" max="16150" width="19.88671875" style="636" bestFit="1" customWidth="1"/>
    <col min="16151" max="16151" width="0" style="636" hidden="1" customWidth="1"/>
    <col min="16152" max="16152" width="12.5546875" style="636" customWidth="1"/>
    <col min="16153" max="16384" width="8.88671875" style="636"/>
  </cols>
  <sheetData>
    <row r="1" spans="1:23" ht="15.75" x14ac:dyDescent="0.25">
      <c r="A1" s="631"/>
      <c r="B1" s="631"/>
      <c r="C1" s="632" t="s">
        <v>580</v>
      </c>
      <c r="D1" s="633"/>
      <c r="E1" s="634"/>
      <c r="F1" s="635"/>
      <c r="G1" s="635"/>
      <c r="H1" s="635"/>
      <c r="I1" s="635"/>
      <c r="J1" s="635"/>
      <c r="K1" s="635"/>
      <c r="L1" s="635"/>
      <c r="M1" s="635"/>
      <c r="N1" s="635"/>
      <c r="O1" s="635"/>
      <c r="P1" s="635"/>
      <c r="Q1" s="635"/>
      <c r="R1" s="635"/>
      <c r="S1" s="635"/>
      <c r="T1" s="631"/>
      <c r="U1" s="631"/>
    </row>
    <row r="2" spans="1:23" ht="12.75" x14ac:dyDescent="0.2">
      <c r="A2" s="631"/>
      <c r="B2" s="631"/>
      <c r="C2" s="265"/>
      <c r="D2" s="637"/>
      <c r="E2" s="585"/>
      <c r="F2" s="685" t="s">
        <v>3</v>
      </c>
      <c r="G2" s="726"/>
      <c r="H2" s="726"/>
      <c r="I2" s="726"/>
      <c r="J2" s="726"/>
      <c r="K2" s="726"/>
      <c r="L2" s="726"/>
      <c r="M2" s="726"/>
      <c r="N2" s="726"/>
      <c r="O2" s="726"/>
      <c r="P2" s="726"/>
      <c r="Q2" s="726"/>
      <c r="R2" s="726"/>
      <c r="S2" s="727"/>
      <c r="T2" s="638"/>
      <c r="U2" s="631"/>
    </row>
    <row r="3" spans="1:23" ht="12.75" x14ac:dyDescent="0.2">
      <c r="A3" s="631"/>
      <c r="B3" s="631"/>
      <c r="C3" s="269"/>
      <c r="D3" s="639"/>
      <c r="E3" s="586"/>
      <c r="F3" s="640" t="s">
        <v>4</v>
      </c>
      <c r="G3" s="587" t="s">
        <v>5</v>
      </c>
      <c r="H3" s="641" t="s">
        <v>6</v>
      </c>
      <c r="I3" s="587" t="s">
        <v>7</v>
      </c>
      <c r="J3" s="641" t="s">
        <v>8</v>
      </c>
      <c r="K3" s="587" t="s">
        <v>9</v>
      </c>
      <c r="L3" s="641" t="s">
        <v>10</v>
      </c>
      <c r="M3" s="587" t="s">
        <v>11</v>
      </c>
      <c r="N3" s="641" t="s">
        <v>12</v>
      </c>
      <c r="O3" s="587" t="s">
        <v>13</v>
      </c>
      <c r="P3" s="641" t="s">
        <v>14</v>
      </c>
      <c r="Q3" s="587" t="s">
        <v>15</v>
      </c>
      <c r="R3" s="641" t="s">
        <v>16</v>
      </c>
      <c r="S3" s="641" t="s">
        <v>17</v>
      </c>
      <c r="T3" s="638"/>
      <c r="U3" s="631"/>
    </row>
    <row r="4" spans="1:23" ht="12.75" x14ac:dyDescent="0.2">
      <c r="A4" s="631"/>
      <c r="B4" s="631"/>
      <c r="C4" s="642" t="s">
        <v>18</v>
      </c>
      <c r="D4" s="643"/>
      <c r="E4" s="30"/>
      <c r="F4" s="589" t="s">
        <v>20</v>
      </c>
      <c r="G4" s="590"/>
      <c r="H4" s="180"/>
      <c r="I4" s="590"/>
      <c r="J4" s="180"/>
      <c r="K4" s="590"/>
      <c r="L4" s="180"/>
      <c r="M4" s="590"/>
      <c r="N4" s="180"/>
      <c r="O4" s="590"/>
      <c r="P4" s="180"/>
      <c r="Q4" s="590"/>
      <c r="R4" s="180"/>
      <c r="S4" s="180"/>
      <c r="T4" s="638"/>
      <c r="U4" s="631"/>
    </row>
    <row r="5" spans="1:23" ht="12.75" x14ac:dyDescent="0.2">
      <c r="A5" s="631"/>
      <c r="B5" s="631"/>
      <c r="C5" s="269"/>
      <c r="D5" s="644"/>
      <c r="E5" s="586"/>
      <c r="F5" s="588"/>
      <c r="G5" s="588"/>
      <c r="H5" s="645"/>
      <c r="I5" s="588"/>
      <c r="J5" s="586"/>
      <c r="K5" s="588"/>
      <c r="L5" s="586"/>
      <c r="M5" s="588"/>
      <c r="N5" s="586"/>
      <c r="O5" s="588"/>
      <c r="P5" s="586"/>
      <c r="Q5" s="588"/>
      <c r="R5" s="586"/>
      <c r="S5" s="203"/>
      <c r="T5" s="638"/>
      <c r="U5" s="631"/>
    </row>
    <row r="6" spans="1:23" ht="12.75" x14ac:dyDescent="0.2">
      <c r="A6" s="631"/>
      <c r="B6" s="631"/>
      <c r="C6" s="646" t="s">
        <v>581</v>
      </c>
      <c r="D6" s="639"/>
      <c r="E6" s="593"/>
      <c r="F6" s="203">
        <f>SUM(F7:F38)</f>
        <v>25590572</v>
      </c>
      <c r="G6" s="203">
        <f>SUM(G7:G38)</f>
        <v>1236489</v>
      </c>
      <c r="H6" s="203">
        <f t="shared" ref="H6:R6" si="0">SUM(H7:H38)</f>
        <v>2807140</v>
      </c>
      <c r="I6" s="203">
        <f>SUM(I7:I38)</f>
        <v>3319954</v>
      </c>
      <c r="J6" s="203">
        <f>SUM(J7:J38)</f>
        <v>3550323</v>
      </c>
      <c r="K6" s="203">
        <f t="shared" si="0"/>
        <v>3161507</v>
      </c>
      <c r="L6" s="203">
        <f>SUM(L7:L38)</f>
        <v>1941577</v>
      </c>
      <c r="M6" s="203">
        <f t="shared" si="0"/>
        <v>2581412</v>
      </c>
      <c r="N6" s="203">
        <f t="shared" si="0"/>
        <v>900558</v>
      </c>
      <c r="O6" s="203">
        <f>SUM(O7:O38)</f>
        <v>2698953</v>
      </c>
      <c r="P6" s="203">
        <f>SUM(P7:P38)</f>
        <v>1360720</v>
      </c>
      <c r="Q6" s="203">
        <f t="shared" si="0"/>
        <v>574224</v>
      </c>
      <c r="R6" s="203">
        <f t="shared" si="0"/>
        <v>1637061</v>
      </c>
      <c r="S6" s="203">
        <f t="shared" ref="S6" si="1">SUM(S7:S38)</f>
        <v>25769918</v>
      </c>
      <c r="T6" s="647"/>
      <c r="U6" s="631"/>
      <c r="V6" s="648"/>
      <c r="W6" s="648"/>
    </row>
    <row r="7" spans="1:23" ht="12" hidden="1" customHeight="1" x14ac:dyDescent="0.2">
      <c r="A7" s="631"/>
      <c r="B7" s="631"/>
      <c r="C7" s="646"/>
      <c r="D7" s="39" t="s">
        <v>582</v>
      </c>
      <c r="E7" s="600"/>
      <c r="F7" s="137">
        <v>0</v>
      </c>
      <c r="G7" s="137">
        <v>0</v>
      </c>
      <c r="H7" s="137">
        <v>0</v>
      </c>
      <c r="I7" s="137">
        <v>0</v>
      </c>
      <c r="J7" s="137">
        <v>0</v>
      </c>
      <c r="K7" s="137">
        <v>0</v>
      </c>
      <c r="L7" s="137">
        <v>0</v>
      </c>
      <c r="M7" s="137">
        <v>0</v>
      </c>
      <c r="N7" s="137">
        <v>0</v>
      </c>
      <c r="O7" s="137">
        <v>0</v>
      </c>
      <c r="P7" s="137">
        <v>0</v>
      </c>
      <c r="Q7" s="137">
        <v>0</v>
      </c>
      <c r="R7" s="137">
        <v>0</v>
      </c>
      <c r="S7" s="46">
        <f>SUM(G7:R7)</f>
        <v>0</v>
      </c>
      <c r="T7" s="649"/>
      <c r="U7" s="631"/>
      <c r="V7" s="648"/>
      <c r="W7" s="648"/>
    </row>
    <row r="8" spans="1:23" ht="12.75" hidden="1" customHeight="1" x14ac:dyDescent="0.2">
      <c r="A8" s="631"/>
      <c r="B8" s="631"/>
      <c r="C8" s="646"/>
      <c r="D8" s="650" t="s">
        <v>583</v>
      </c>
      <c r="E8" s="600"/>
      <c r="F8" s="137">
        <v>0</v>
      </c>
      <c r="G8" s="137">
        <v>0</v>
      </c>
      <c r="H8" s="137">
        <v>0</v>
      </c>
      <c r="I8" s="137">
        <v>0</v>
      </c>
      <c r="J8" s="137">
        <v>0</v>
      </c>
      <c r="K8" s="137">
        <v>0</v>
      </c>
      <c r="L8" s="137">
        <v>0</v>
      </c>
      <c r="M8" s="137">
        <v>0</v>
      </c>
      <c r="N8" s="137">
        <v>0</v>
      </c>
      <c r="O8" s="137">
        <v>0</v>
      </c>
      <c r="P8" s="137">
        <v>0</v>
      </c>
      <c r="Q8" s="137">
        <v>0</v>
      </c>
      <c r="R8" s="137">
        <v>0</v>
      </c>
      <c r="S8" s="46">
        <f t="shared" ref="S8:S34" si="2">SUM(G8:R8)</f>
        <v>0</v>
      </c>
      <c r="T8" s="649"/>
      <c r="U8" s="631"/>
      <c r="V8" s="648"/>
      <c r="W8" s="648"/>
    </row>
    <row r="9" spans="1:23" ht="12.75" hidden="1" customHeight="1" x14ac:dyDescent="0.2">
      <c r="A9" s="631"/>
      <c r="B9" s="631"/>
      <c r="C9" s="646"/>
      <c r="D9" s="650" t="s">
        <v>584</v>
      </c>
      <c r="E9" s="600"/>
      <c r="F9" s="137">
        <v>0</v>
      </c>
      <c r="G9" s="137">
        <v>0</v>
      </c>
      <c r="H9" s="137">
        <v>0</v>
      </c>
      <c r="I9" s="137">
        <v>0</v>
      </c>
      <c r="J9" s="137">
        <v>0</v>
      </c>
      <c r="K9" s="137">
        <v>0</v>
      </c>
      <c r="L9" s="137">
        <v>0</v>
      </c>
      <c r="M9" s="137">
        <v>0</v>
      </c>
      <c r="N9" s="137">
        <v>0</v>
      </c>
      <c r="O9" s="137">
        <v>0</v>
      </c>
      <c r="P9" s="137">
        <v>0</v>
      </c>
      <c r="Q9" s="137">
        <v>0</v>
      </c>
      <c r="R9" s="137">
        <v>0</v>
      </c>
      <c r="S9" s="46">
        <f t="shared" si="2"/>
        <v>0</v>
      </c>
      <c r="T9" s="649"/>
      <c r="U9" s="631"/>
      <c r="V9" s="648"/>
      <c r="W9" s="648"/>
    </row>
    <row r="10" spans="1:23" ht="12.75" hidden="1" customHeight="1" x14ac:dyDescent="0.2">
      <c r="A10" s="631"/>
      <c r="B10" s="631"/>
      <c r="C10" s="646"/>
      <c r="D10" s="39" t="s">
        <v>585</v>
      </c>
      <c r="E10" s="651"/>
      <c r="F10" s="137">
        <v>0</v>
      </c>
      <c r="G10" s="137">
        <v>0</v>
      </c>
      <c r="H10" s="137">
        <v>0</v>
      </c>
      <c r="I10" s="137">
        <v>0</v>
      </c>
      <c r="J10" s="137">
        <v>0</v>
      </c>
      <c r="K10" s="137">
        <v>0</v>
      </c>
      <c r="L10" s="137">
        <v>0</v>
      </c>
      <c r="M10" s="137">
        <v>0</v>
      </c>
      <c r="N10" s="137">
        <v>0</v>
      </c>
      <c r="O10" s="137">
        <v>0</v>
      </c>
      <c r="P10" s="137">
        <v>0</v>
      </c>
      <c r="Q10" s="137">
        <v>0</v>
      </c>
      <c r="R10" s="137">
        <v>0</v>
      </c>
      <c r="S10" s="46">
        <f>SUM(G10:R10)</f>
        <v>0</v>
      </c>
      <c r="T10" s="649"/>
      <c r="U10" s="631"/>
      <c r="V10" s="648"/>
      <c r="W10" s="648"/>
    </row>
    <row r="11" spans="1:23" ht="12.75" hidden="1" x14ac:dyDescent="0.2">
      <c r="A11" s="631"/>
      <c r="B11" s="631"/>
      <c r="C11" s="646"/>
      <c r="D11" s="650" t="s">
        <v>586</v>
      </c>
      <c r="E11" s="600"/>
      <c r="F11" s="137">
        <v>0</v>
      </c>
      <c r="G11" s="137">
        <v>0</v>
      </c>
      <c r="H11" s="137">
        <v>0</v>
      </c>
      <c r="I11" s="137">
        <v>0</v>
      </c>
      <c r="J11" s="137">
        <v>0</v>
      </c>
      <c r="K11" s="137">
        <v>0</v>
      </c>
      <c r="L11" s="137">
        <v>0</v>
      </c>
      <c r="M11" s="137">
        <v>0</v>
      </c>
      <c r="N11" s="137">
        <v>0</v>
      </c>
      <c r="O11" s="137">
        <v>0</v>
      </c>
      <c r="P11" s="137">
        <v>0</v>
      </c>
      <c r="Q11" s="137">
        <v>0</v>
      </c>
      <c r="R11" s="137">
        <v>0</v>
      </c>
      <c r="S11" s="46">
        <f>SUM(G11:R11)</f>
        <v>0</v>
      </c>
      <c r="T11" s="649"/>
      <c r="U11" s="631"/>
      <c r="V11" s="648"/>
      <c r="W11" s="648"/>
    </row>
    <row r="12" spans="1:23" ht="12.75" hidden="1" customHeight="1" x14ac:dyDescent="0.2">
      <c r="A12" s="631"/>
      <c r="B12" s="631"/>
      <c r="C12" s="646"/>
      <c r="D12" s="650" t="s">
        <v>587</v>
      </c>
      <c r="E12" s="600"/>
      <c r="F12" s="137">
        <v>0</v>
      </c>
      <c r="G12" s="137">
        <v>0</v>
      </c>
      <c r="H12" s="137">
        <v>0</v>
      </c>
      <c r="I12" s="137">
        <v>0</v>
      </c>
      <c r="J12" s="137">
        <v>0</v>
      </c>
      <c r="K12" s="137">
        <v>0</v>
      </c>
      <c r="L12" s="137">
        <v>0</v>
      </c>
      <c r="M12" s="137">
        <v>0</v>
      </c>
      <c r="N12" s="137">
        <v>0</v>
      </c>
      <c r="O12" s="137">
        <v>0</v>
      </c>
      <c r="P12" s="137">
        <v>0</v>
      </c>
      <c r="Q12" s="137">
        <v>0</v>
      </c>
      <c r="R12" s="137">
        <v>0</v>
      </c>
      <c r="S12" s="46">
        <f t="shared" si="2"/>
        <v>0</v>
      </c>
      <c r="T12" s="649"/>
      <c r="U12" s="631"/>
      <c r="V12" s="648"/>
      <c r="W12" s="648"/>
    </row>
    <row r="13" spans="1:23" ht="12.75" hidden="1" customHeight="1" x14ac:dyDescent="0.2">
      <c r="A13" s="631"/>
      <c r="B13" s="631"/>
      <c r="C13" s="646"/>
      <c r="D13" s="39" t="s">
        <v>588</v>
      </c>
      <c r="E13" s="600"/>
      <c r="F13" s="137">
        <v>0</v>
      </c>
      <c r="G13" s="46">
        <v>0</v>
      </c>
      <c r="H13" s="46">
        <v>0</v>
      </c>
      <c r="I13" s="46">
        <v>0</v>
      </c>
      <c r="J13" s="46">
        <v>0</v>
      </c>
      <c r="K13" s="46">
        <v>0</v>
      </c>
      <c r="L13" s="46">
        <v>0</v>
      </c>
      <c r="M13" s="46">
        <v>0</v>
      </c>
      <c r="N13" s="46">
        <v>0</v>
      </c>
      <c r="O13" s="46">
        <v>0</v>
      </c>
      <c r="P13" s="46">
        <v>0</v>
      </c>
      <c r="Q13" s="46">
        <v>0</v>
      </c>
      <c r="R13" s="46">
        <v>0</v>
      </c>
      <c r="S13" s="46">
        <f t="shared" si="2"/>
        <v>0</v>
      </c>
      <c r="T13" s="649"/>
      <c r="U13" s="631"/>
      <c r="V13" s="648"/>
      <c r="W13" s="648"/>
    </row>
    <row r="14" spans="1:23" ht="12.75" hidden="1" customHeight="1" x14ac:dyDescent="0.2">
      <c r="A14" s="631"/>
      <c r="B14" s="631"/>
      <c r="C14" s="646"/>
      <c r="D14" s="650" t="s">
        <v>589</v>
      </c>
      <c r="E14" s="600"/>
      <c r="F14" s="137">
        <v>0</v>
      </c>
      <c r="G14" s="137">
        <v>0</v>
      </c>
      <c r="H14" s="137">
        <v>0</v>
      </c>
      <c r="I14" s="137">
        <v>0</v>
      </c>
      <c r="J14" s="137">
        <v>0</v>
      </c>
      <c r="K14" s="137">
        <v>0</v>
      </c>
      <c r="L14" s="137">
        <v>0</v>
      </c>
      <c r="M14" s="137">
        <v>0</v>
      </c>
      <c r="N14" s="137">
        <v>0</v>
      </c>
      <c r="O14" s="137">
        <v>0</v>
      </c>
      <c r="P14" s="137">
        <v>0</v>
      </c>
      <c r="Q14" s="137">
        <v>0</v>
      </c>
      <c r="R14" s="137">
        <v>0</v>
      </c>
      <c r="S14" s="46">
        <f t="shared" si="2"/>
        <v>0</v>
      </c>
      <c r="T14" s="649"/>
      <c r="U14" s="631"/>
      <c r="V14" s="648"/>
      <c r="W14" s="648"/>
    </row>
    <row r="15" spans="1:23" ht="12.75" hidden="1" customHeight="1" x14ac:dyDescent="0.2">
      <c r="A15" s="631"/>
      <c r="B15" s="631"/>
      <c r="C15" s="646"/>
      <c r="D15" s="650" t="s">
        <v>590</v>
      </c>
      <c r="E15" s="600"/>
      <c r="F15" s="137">
        <v>0</v>
      </c>
      <c r="G15" s="137">
        <v>0</v>
      </c>
      <c r="H15" s="137">
        <v>0</v>
      </c>
      <c r="I15" s="137">
        <v>0</v>
      </c>
      <c r="J15" s="137">
        <v>0</v>
      </c>
      <c r="K15" s="137">
        <v>0</v>
      </c>
      <c r="L15" s="137">
        <v>0</v>
      </c>
      <c r="M15" s="137">
        <v>0</v>
      </c>
      <c r="N15" s="137">
        <v>0</v>
      </c>
      <c r="O15" s="137">
        <v>0</v>
      </c>
      <c r="P15" s="137">
        <v>0</v>
      </c>
      <c r="Q15" s="137">
        <v>0</v>
      </c>
      <c r="R15" s="137">
        <v>0</v>
      </c>
      <c r="S15" s="46">
        <f t="shared" si="2"/>
        <v>0</v>
      </c>
      <c r="T15" s="649"/>
      <c r="U15" s="631"/>
      <c r="V15" s="648"/>
      <c r="W15" s="648"/>
    </row>
    <row r="16" spans="1:23" ht="12.75" hidden="1" customHeight="1" x14ac:dyDescent="0.2">
      <c r="A16" s="631"/>
      <c r="B16" s="631"/>
      <c r="C16" s="646"/>
      <c r="D16" s="650" t="s">
        <v>591</v>
      </c>
      <c r="E16" s="600"/>
      <c r="F16" s="137">
        <v>0</v>
      </c>
      <c r="G16" s="46">
        <v>0</v>
      </c>
      <c r="H16" s="46">
        <v>0</v>
      </c>
      <c r="I16" s="46">
        <v>0</v>
      </c>
      <c r="J16" s="46">
        <v>0</v>
      </c>
      <c r="K16" s="46">
        <v>0</v>
      </c>
      <c r="L16" s="46">
        <v>0</v>
      </c>
      <c r="M16" s="46">
        <v>0</v>
      </c>
      <c r="N16" s="46">
        <v>0</v>
      </c>
      <c r="O16" s="46">
        <v>0</v>
      </c>
      <c r="P16" s="46">
        <v>0</v>
      </c>
      <c r="Q16" s="46">
        <v>0</v>
      </c>
      <c r="R16" s="46">
        <v>0</v>
      </c>
      <c r="S16" s="46">
        <f t="shared" si="2"/>
        <v>0</v>
      </c>
      <c r="T16" s="649"/>
      <c r="U16" s="631"/>
      <c r="V16" s="648"/>
      <c r="W16" s="648"/>
    </row>
    <row r="17" spans="1:23" ht="12.75" hidden="1" customHeight="1" x14ac:dyDescent="0.2">
      <c r="A17" s="631"/>
      <c r="B17" s="631"/>
      <c r="C17" s="646"/>
      <c r="D17" s="39" t="s">
        <v>592</v>
      </c>
      <c r="E17" s="600"/>
      <c r="F17" s="137">
        <v>0</v>
      </c>
      <c r="G17" s="137">
        <v>0</v>
      </c>
      <c r="H17" s="137">
        <v>0</v>
      </c>
      <c r="I17" s="137">
        <v>0</v>
      </c>
      <c r="J17" s="137">
        <v>0</v>
      </c>
      <c r="K17" s="137">
        <v>0</v>
      </c>
      <c r="L17" s="137">
        <v>0</v>
      </c>
      <c r="M17" s="137">
        <v>0</v>
      </c>
      <c r="N17" s="137">
        <v>0</v>
      </c>
      <c r="O17" s="137">
        <v>0</v>
      </c>
      <c r="P17" s="137">
        <v>0</v>
      </c>
      <c r="Q17" s="137">
        <v>0</v>
      </c>
      <c r="R17" s="137">
        <v>0</v>
      </c>
      <c r="S17" s="46">
        <f t="shared" si="2"/>
        <v>0</v>
      </c>
      <c r="T17" s="649"/>
      <c r="U17" s="631"/>
      <c r="V17" s="648"/>
      <c r="W17" s="648"/>
    </row>
    <row r="18" spans="1:23" ht="12.75" x14ac:dyDescent="0.2">
      <c r="A18" s="631"/>
      <c r="B18" s="631"/>
      <c r="C18" s="646"/>
      <c r="D18" s="39" t="s">
        <v>593</v>
      </c>
      <c r="E18" s="600"/>
      <c r="F18" s="652">
        <v>1730</v>
      </c>
      <c r="G18" s="652">
        <v>316</v>
      </c>
      <c r="H18" s="652">
        <v>168</v>
      </c>
      <c r="I18" s="652">
        <v>91</v>
      </c>
      <c r="J18" s="652">
        <v>138</v>
      </c>
      <c r="K18" s="652">
        <v>118</v>
      </c>
      <c r="L18" s="652">
        <v>206</v>
      </c>
      <c r="M18" s="652">
        <v>157</v>
      </c>
      <c r="N18" s="652">
        <v>179</v>
      </c>
      <c r="O18" s="652">
        <v>280</v>
      </c>
      <c r="P18" s="652">
        <v>77</v>
      </c>
      <c r="Q18" s="652">
        <v>0</v>
      </c>
      <c r="R18" s="652">
        <v>491</v>
      </c>
      <c r="S18" s="46">
        <f>SUM(G18:R18)</f>
        <v>2221</v>
      </c>
      <c r="T18" s="649"/>
      <c r="U18" s="631"/>
      <c r="V18" s="648"/>
      <c r="W18" s="648"/>
    </row>
    <row r="19" spans="1:23" ht="12.75" hidden="1" customHeight="1" x14ac:dyDescent="0.2">
      <c r="A19" s="631"/>
      <c r="B19" s="631"/>
      <c r="C19" s="646"/>
      <c r="D19" s="39" t="s">
        <v>594</v>
      </c>
      <c r="E19" s="600"/>
      <c r="F19" s="652">
        <v>0</v>
      </c>
      <c r="G19" s="652">
        <v>0</v>
      </c>
      <c r="H19" s="652">
        <v>0</v>
      </c>
      <c r="I19" s="652">
        <v>0</v>
      </c>
      <c r="J19" s="652">
        <v>0</v>
      </c>
      <c r="K19" s="652">
        <v>0</v>
      </c>
      <c r="L19" s="652">
        <v>0</v>
      </c>
      <c r="M19" s="652">
        <v>0</v>
      </c>
      <c r="N19" s="652">
        <v>0</v>
      </c>
      <c r="O19" s="652">
        <v>0</v>
      </c>
      <c r="P19" s="652">
        <v>0</v>
      </c>
      <c r="Q19" s="652">
        <v>0</v>
      </c>
      <c r="R19" s="652">
        <v>0</v>
      </c>
      <c r="S19" s="46">
        <f t="shared" si="2"/>
        <v>0</v>
      </c>
      <c r="T19" s="649"/>
      <c r="U19" s="631"/>
      <c r="V19" s="648"/>
      <c r="W19" s="648"/>
    </row>
    <row r="20" spans="1:23" ht="12.75" hidden="1" customHeight="1" x14ac:dyDescent="0.2">
      <c r="A20" s="631"/>
      <c r="B20" s="631"/>
      <c r="C20" s="646"/>
      <c r="D20" s="39" t="s">
        <v>595</v>
      </c>
      <c r="E20" s="600"/>
      <c r="F20" s="652">
        <v>0</v>
      </c>
      <c r="G20" s="652">
        <v>0</v>
      </c>
      <c r="H20" s="652">
        <v>0</v>
      </c>
      <c r="I20" s="652">
        <v>0</v>
      </c>
      <c r="J20" s="652">
        <v>0</v>
      </c>
      <c r="K20" s="652">
        <v>0</v>
      </c>
      <c r="L20" s="652">
        <v>0</v>
      </c>
      <c r="M20" s="652">
        <v>0</v>
      </c>
      <c r="N20" s="652">
        <v>0</v>
      </c>
      <c r="O20" s="652">
        <v>0</v>
      </c>
      <c r="P20" s="652">
        <v>0</v>
      </c>
      <c r="Q20" s="652">
        <v>0</v>
      </c>
      <c r="R20" s="652">
        <v>0</v>
      </c>
      <c r="S20" s="46">
        <f t="shared" si="2"/>
        <v>0</v>
      </c>
      <c r="T20" s="649"/>
      <c r="U20" s="631"/>
      <c r="V20" s="648"/>
      <c r="W20" s="648"/>
    </row>
    <row r="21" spans="1:23" ht="12.75" customHeight="1" x14ac:dyDescent="0.2">
      <c r="A21" s="631"/>
      <c r="B21" s="631"/>
      <c r="C21" s="646"/>
      <c r="D21" s="650" t="s">
        <v>596</v>
      </c>
      <c r="E21" s="55"/>
      <c r="F21" s="652">
        <v>397236</v>
      </c>
      <c r="G21" s="652">
        <v>0</v>
      </c>
      <c r="H21" s="652">
        <v>0</v>
      </c>
      <c r="I21" s="652">
        <v>0</v>
      </c>
      <c r="J21" s="652">
        <v>0</v>
      </c>
      <c r="K21" s="652">
        <v>0</v>
      </c>
      <c r="L21" s="652">
        <v>0</v>
      </c>
      <c r="M21" s="652">
        <v>0</v>
      </c>
      <c r="N21" s="652">
        <v>0</v>
      </c>
      <c r="O21" s="652">
        <v>0</v>
      </c>
      <c r="P21" s="652">
        <v>0</v>
      </c>
      <c r="Q21" s="652">
        <v>397326</v>
      </c>
      <c r="R21" s="652">
        <v>0</v>
      </c>
      <c r="S21" s="46">
        <f>SUM(G21:R21)</f>
        <v>397326</v>
      </c>
      <c r="T21" s="649"/>
      <c r="U21" s="631"/>
      <c r="V21" s="648"/>
      <c r="W21" s="648"/>
    </row>
    <row r="22" spans="1:23" ht="12.75" x14ac:dyDescent="0.2">
      <c r="A22" s="631"/>
      <c r="B22" s="631"/>
      <c r="C22" s="646"/>
      <c r="D22" s="650" t="s">
        <v>597</v>
      </c>
      <c r="E22" s="593"/>
      <c r="F22" s="652">
        <v>14000000</v>
      </c>
      <c r="G22" s="652">
        <v>376261</v>
      </c>
      <c r="H22" s="652">
        <v>1466990</v>
      </c>
      <c r="I22" s="652">
        <v>764417</v>
      </c>
      <c r="J22" s="652">
        <v>2780720</v>
      </c>
      <c r="K22" s="652">
        <v>1213553</v>
      </c>
      <c r="L22" s="652">
        <v>716835</v>
      </c>
      <c r="M22" s="652">
        <v>2010551</v>
      </c>
      <c r="N22" s="652">
        <v>777625</v>
      </c>
      <c r="O22" s="652">
        <v>2213621</v>
      </c>
      <c r="P22" s="652">
        <v>1216723</v>
      </c>
      <c r="Q22" s="652">
        <v>33827</v>
      </c>
      <c r="R22" s="652">
        <v>756787</v>
      </c>
      <c r="S22" s="46">
        <f>SUM(G22:R22)</f>
        <v>14327910</v>
      </c>
      <c r="T22" s="649"/>
      <c r="U22" s="631"/>
      <c r="V22" s="653"/>
      <c r="W22" s="648"/>
    </row>
    <row r="23" spans="1:23" ht="12.75" hidden="1" customHeight="1" x14ac:dyDescent="0.2">
      <c r="A23" s="631"/>
      <c r="B23" s="631"/>
      <c r="C23" s="646"/>
      <c r="D23" s="39" t="s">
        <v>598</v>
      </c>
      <c r="E23" s="600"/>
      <c r="F23" s="652">
        <v>0</v>
      </c>
      <c r="G23" s="652">
        <v>0</v>
      </c>
      <c r="H23" s="652">
        <v>0</v>
      </c>
      <c r="I23" s="652">
        <v>0</v>
      </c>
      <c r="J23" s="652">
        <v>0</v>
      </c>
      <c r="K23" s="652">
        <v>0</v>
      </c>
      <c r="L23" s="652">
        <v>0</v>
      </c>
      <c r="M23" s="652">
        <v>0</v>
      </c>
      <c r="N23" s="652">
        <v>0</v>
      </c>
      <c r="O23" s="652">
        <v>0</v>
      </c>
      <c r="P23" s="652">
        <v>0</v>
      </c>
      <c r="Q23" s="652">
        <v>0</v>
      </c>
      <c r="R23" s="652">
        <v>0</v>
      </c>
      <c r="S23" s="46">
        <f>SUM(G23:R23)</f>
        <v>0</v>
      </c>
      <c r="T23" s="649"/>
      <c r="U23" s="631"/>
      <c r="V23" s="648"/>
      <c r="W23" s="648"/>
    </row>
    <row r="24" spans="1:23" ht="12.75" hidden="1" customHeight="1" x14ac:dyDescent="0.2">
      <c r="A24" s="631"/>
      <c r="B24" s="631"/>
      <c r="C24" s="646"/>
      <c r="D24" s="650" t="s">
        <v>599</v>
      </c>
      <c r="E24" s="600"/>
      <c r="F24" s="652">
        <v>0</v>
      </c>
      <c r="G24" s="652">
        <v>0</v>
      </c>
      <c r="H24" s="652">
        <v>0</v>
      </c>
      <c r="I24" s="652">
        <v>0</v>
      </c>
      <c r="J24" s="652">
        <v>0</v>
      </c>
      <c r="K24" s="652">
        <v>0</v>
      </c>
      <c r="L24" s="652">
        <v>0</v>
      </c>
      <c r="M24" s="652">
        <v>0</v>
      </c>
      <c r="N24" s="652">
        <v>0</v>
      </c>
      <c r="O24" s="652">
        <v>0</v>
      </c>
      <c r="P24" s="652">
        <v>0</v>
      </c>
      <c r="Q24" s="652">
        <v>0</v>
      </c>
      <c r="R24" s="652">
        <v>0</v>
      </c>
      <c r="S24" s="46">
        <f t="shared" si="2"/>
        <v>0</v>
      </c>
      <c r="T24" s="649"/>
      <c r="U24" s="631"/>
      <c r="V24" s="648"/>
      <c r="W24" s="648"/>
    </row>
    <row r="25" spans="1:23" ht="12.75" hidden="1" customHeight="1" x14ac:dyDescent="0.2">
      <c r="A25" s="631"/>
      <c r="B25" s="631"/>
      <c r="C25" s="646"/>
      <c r="D25" s="650" t="s">
        <v>600</v>
      </c>
      <c r="E25" s="600"/>
      <c r="F25" s="652">
        <v>0</v>
      </c>
      <c r="G25" s="652">
        <v>0</v>
      </c>
      <c r="H25" s="652">
        <v>0</v>
      </c>
      <c r="I25" s="652">
        <v>0</v>
      </c>
      <c r="J25" s="652">
        <v>0</v>
      </c>
      <c r="K25" s="652">
        <v>0</v>
      </c>
      <c r="L25" s="652">
        <v>0</v>
      </c>
      <c r="M25" s="652">
        <v>0</v>
      </c>
      <c r="N25" s="652">
        <v>0</v>
      </c>
      <c r="O25" s="652">
        <v>0</v>
      </c>
      <c r="P25" s="652">
        <v>0</v>
      </c>
      <c r="Q25" s="652">
        <v>0</v>
      </c>
      <c r="R25" s="652">
        <v>0</v>
      </c>
      <c r="S25" s="46">
        <f t="shared" si="2"/>
        <v>0</v>
      </c>
      <c r="T25" s="649"/>
      <c r="U25" s="631"/>
      <c r="V25" s="648"/>
      <c r="W25" s="648"/>
    </row>
    <row r="26" spans="1:23" ht="12.75" x14ac:dyDescent="0.2">
      <c r="A26" s="631"/>
      <c r="B26" s="631"/>
      <c r="C26" s="646"/>
      <c r="D26" s="650" t="s">
        <v>601</v>
      </c>
      <c r="E26" s="600"/>
      <c r="F26" s="652">
        <v>11191606</v>
      </c>
      <c r="G26" s="652">
        <v>859912</v>
      </c>
      <c r="H26" s="652">
        <v>1339982</v>
      </c>
      <c r="I26" s="652">
        <v>2555446</v>
      </c>
      <c r="J26" s="652">
        <v>769465</v>
      </c>
      <c r="K26" s="652">
        <v>1947836</v>
      </c>
      <c r="L26" s="652">
        <v>1224536</v>
      </c>
      <c r="M26" s="652">
        <v>570704</v>
      </c>
      <c r="N26" s="652">
        <v>122754</v>
      </c>
      <c r="O26" s="652">
        <v>485052</v>
      </c>
      <c r="P26" s="652">
        <v>143920</v>
      </c>
      <c r="Q26" s="652">
        <v>143071</v>
      </c>
      <c r="R26" s="652">
        <v>879783</v>
      </c>
      <c r="S26" s="46">
        <f>SUM(G26:R26)</f>
        <v>11042461</v>
      </c>
      <c r="T26" s="649"/>
      <c r="U26" s="631"/>
      <c r="V26" s="653"/>
      <c r="W26" s="648"/>
    </row>
    <row r="27" spans="1:23" ht="12.75" hidden="1" customHeight="1" x14ac:dyDescent="0.2">
      <c r="A27" s="631"/>
      <c r="B27" s="631"/>
      <c r="C27" s="646"/>
      <c r="D27" s="650" t="s">
        <v>602</v>
      </c>
      <c r="E27" s="600"/>
      <c r="F27" s="652">
        <v>0</v>
      </c>
      <c r="G27" s="137">
        <v>0</v>
      </c>
      <c r="H27" s="137">
        <v>0</v>
      </c>
      <c r="I27" s="137">
        <v>0</v>
      </c>
      <c r="J27" s="137">
        <v>0</v>
      </c>
      <c r="K27" s="137">
        <v>0</v>
      </c>
      <c r="L27" s="137">
        <v>0</v>
      </c>
      <c r="M27" s="137">
        <v>0</v>
      </c>
      <c r="N27" s="137">
        <v>0</v>
      </c>
      <c r="O27" s="137">
        <v>0</v>
      </c>
      <c r="P27" s="137">
        <v>0</v>
      </c>
      <c r="Q27" s="137">
        <v>0</v>
      </c>
      <c r="R27" s="137">
        <v>0</v>
      </c>
      <c r="S27" s="46">
        <f t="shared" si="2"/>
        <v>0</v>
      </c>
      <c r="T27" s="649"/>
      <c r="U27" s="631"/>
      <c r="V27" s="648"/>
      <c r="W27" s="648"/>
    </row>
    <row r="28" spans="1:23" ht="12.75" hidden="1" customHeight="1" x14ac:dyDescent="0.2">
      <c r="A28" s="631"/>
      <c r="B28" s="631"/>
      <c r="C28" s="646"/>
      <c r="D28" s="39" t="s">
        <v>603</v>
      </c>
      <c r="E28" s="651" t="s">
        <v>86</v>
      </c>
      <c r="F28" s="652">
        <v>0</v>
      </c>
      <c r="G28" s="137">
        <v>0</v>
      </c>
      <c r="H28" s="137">
        <v>0</v>
      </c>
      <c r="I28" s="137">
        <v>0</v>
      </c>
      <c r="J28" s="137">
        <v>0</v>
      </c>
      <c r="K28" s="137">
        <v>0</v>
      </c>
      <c r="L28" s="137">
        <v>0</v>
      </c>
      <c r="M28" s="137">
        <v>0</v>
      </c>
      <c r="N28" s="137">
        <v>0</v>
      </c>
      <c r="O28" s="137">
        <v>0</v>
      </c>
      <c r="P28" s="137">
        <v>0</v>
      </c>
      <c r="Q28" s="137">
        <v>0</v>
      </c>
      <c r="R28" s="137">
        <v>0</v>
      </c>
      <c r="S28" s="46">
        <f t="shared" si="2"/>
        <v>0</v>
      </c>
      <c r="T28" s="649"/>
      <c r="U28" s="631"/>
      <c r="V28" s="648"/>
      <c r="W28" s="648"/>
    </row>
    <row r="29" spans="1:23" s="655" customFormat="1" ht="12.75" hidden="1" customHeight="1" x14ac:dyDescent="0.2">
      <c r="A29" s="634"/>
      <c r="B29" s="634"/>
      <c r="C29" s="618"/>
      <c r="D29" s="650" t="s">
        <v>604</v>
      </c>
      <c r="E29" s="600"/>
      <c r="F29" s="652">
        <v>0</v>
      </c>
      <c r="G29" s="137">
        <v>0</v>
      </c>
      <c r="H29" s="137">
        <v>0</v>
      </c>
      <c r="I29" s="137">
        <v>0</v>
      </c>
      <c r="J29" s="137">
        <v>0</v>
      </c>
      <c r="K29" s="137">
        <v>0</v>
      </c>
      <c r="L29" s="137">
        <v>0</v>
      </c>
      <c r="M29" s="137">
        <v>0</v>
      </c>
      <c r="N29" s="137">
        <v>0</v>
      </c>
      <c r="O29" s="137">
        <v>0</v>
      </c>
      <c r="P29" s="137">
        <v>0</v>
      </c>
      <c r="Q29" s="137">
        <v>0</v>
      </c>
      <c r="R29" s="137">
        <v>0</v>
      </c>
      <c r="S29" s="46">
        <f>SUM(G29:R29)</f>
        <v>0</v>
      </c>
      <c r="T29" s="654"/>
      <c r="U29" s="634"/>
      <c r="V29" s="648"/>
      <c r="W29" s="648"/>
    </row>
    <row r="30" spans="1:23" s="655" customFormat="1" ht="12.75" hidden="1" customHeight="1" x14ac:dyDescent="0.2">
      <c r="A30" s="634"/>
      <c r="B30" s="634"/>
      <c r="C30" s="618"/>
      <c r="D30" s="39" t="s">
        <v>605</v>
      </c>
      <c r="E30" s="600"/>
      <c r="F30" s="652">
        <v>0</v>
      </c>
      <c r="G30" s="137">
        <v>0</v>
      </c>
      <c r="H30" s="137">
        <v>0</v>
      </c>
      <c r="I30" s="137">
        <v>0</v>
      </c>
      <c r="J30" s="137">
        <v>0</v>
      </c>
      <c r="K30" s="137">
        <v>0</v>
      </c>
      <c r="L30" s="137">
        <v>0</v>
      </c>
      <c r="M30" s="137">
        <v>0</v>
      </c>
      <c r="N30" s="137">
        <v>0</v>
      </c>
      <c r="O30" s="137">
        <v>0</v>
      </c>
      <c r="P30" s="137">
        <v>0</v>
      </c>
      <c r="Q30" s="137">
        <v>0</v>
      </c>
      <c r="R30" s="137">
        <v>0</v>
      </c>
      <c r="S30" s="46">
        <f t="shared" si="2"/>
        <v>0</v>
      </c>
      <c r="T30" s="654"/>
      <c r="U30" s="634"/>
      <c r="V30" s="648"/>
      <c r="W30" s="648"/>
    </row>
    <row r="31" spans="1:23" s="655" customFormat="1" ht="12.75" hidden="1" customHeight="1" x14ac:dyDescent="0.2">
      <c r="A31" s="634"/>
      <c r="B31" s="634"/>
      <c r="C31" s="618"/>
      <c r="D31" s="39" t="s">
        <v>606</v>
      </c>
      <c r="E31" s="600"/>
      <c r="F31" s="652">
        <v>0</v>
      </c>
      <c r="G31" s="137">
        <v>0</v>
      </c>
      <c r="H31" s="137">
        <v>0</v>
      </c>
      <c r="I31" s="137">
        <v>0</v>
      </c>
      <c r="J31" s="137">
        <v>0</v>
      </c>
      <c r="K31" s="137">
        <v>0</v>
      </c>
      <c r="L31" s="137">
        <v>0</v>
      </c>
      <c r="M31" s="137">
        <v>0</v>
      </c>
      <c r="N31" s="137">
        <v>0</v>
      </c>
      <c r="O31" s="137">
        <v>0</v>
      </c>
      <c r="P31" s="137">
        <v>0</v>
      </c>
      <c r="Q31" s="137">
        <v>0</v>
      </c>
      <c r="R31" s="137">
        <v>0</v>
      </c>
      <c r="S31" s="46">
        <f t="shared" si="2"/>
        <v>0</v>
      </c>
      <c r="T31" s="654"/>
      <c r="U31" s="634"/>
      <c r="V31" s="648"/>
      <c r="W31" s="648"/>
    </row>
    <row r="32" spans="1:23" ht="12.75" hidden="1" customHeight="1" x14ac:dyDescent="0.2">
      <c r="A32" s="631"/>
      <c r="B32" s="631"/>
      <c r="C32" s="646"/>
      <c r="D32" s="39" t="s">
        <v>607</v>
      </c>
      <c r="E32" s="600"/>
      <c r="F32" s="652">
        <v>0</v>
      </c>
      <c r="G32" s="137">
        <v>0</v>
      </c>
      <c r="H32" s="137">
        <v>0</v>
      </c>
      <c r="I32" s="137">
        <v>0</v>
      </c>
      <c r="J32" s="137">
        <v>0</v>
      </c>
      <c r="K32" s="137">
        <v>0</v>
      </c>
      <c r="L32" s="137">
        <v>0</v>
      </c>
      <c r="M32" s="137">
        <v>0</v>
      </c>
      <c r="N32" s="137">
        <v>0</v>
      </c>
      <c r="O32" s="137">
        <v>0</v>
      </c>
      <c r="P32" s="137">
        <v>0</v>
      </c>
      <c r="Q32" s="137">
        <v>0</v>
      </c>
      <c r="R32" s="137">
        <v>0</v>
      </c>
      <c r="S32" s="46">
        <f t="shared" si="2"/>
        <v>0</v>
      </c>
      <c r="T32" s="649"/>
      <c r="U32" s="631"/>
      <c r="V32" s="648"/>
      <c r="W32" s="648"/>
    </row>
    <row r="33" spans="1:23" ht="12.75" hidden="1" customHeight="1" x14ac:dyDescent="0.2">
      <c r="A33" s="631"/>
      <c r="B33" s="631"/>
      <c r="C33" s="646"/>
      <c r="D33" s="39" t="s">
        <v>607</v>
      </c>
      <c r="E33" s="600"/>
      <c r="F33" s="652">
        <v>0</v>
      </c>
      <c r="G33" s="137">
        <v>0</v>
      </c>
      <c r="H33" s="137">
        <v>0</v>
      </c>
      <c r="I33" s="137">
        <v>0</v>
      </c>
      <c r="J33" s="137">
        <v>0</v>
      </c>
      <c r="K33" s="137">
        <v>0</v>
      </c>
      <c r="L33" s="137">
        <v>0</v>
      </c>
      <c r="M33" s="137">
        <v>0</v>
      </c>
      <c r="N33" s="137">
        <v>0</v>
      </c>
      <c r="O33" s="137">
        <v>0</v>
      </c>
      <c r="P33" s="137">
        <v>0</v>
      </c>
      <c r="Q33" s="137">
        <v>0</v>
      </c>
      <c r="R33" s="137">
        <v>0</v>
      </c>
      <c r="S33" s="46">
        <f t="shared" si="2"/>
        <v>0</v>
      </c>
      <c r="T33" s="649"/>
      <c r="U33" s="631"/>
      <c r="V33" s="648"/>
      <c r="W33" s="648"/>
    </row>
    <row r="34" spans="1:23" ht="15" hidden="1" customHeight="1" x14ac:dyDescent="0.2">
      <c r="A34" s="631"/>
      <c r="B34" s="631"/>
      <c r="C34" s="646"/>
      <c r="D34" s="650" t="s">
        <v>608</v>
      </c>
      <c r="E34" s="600"/>
      <c r="F34" s="652">
        <v>0</v>
      </c>
      <c r="G34" s="137">
        <v>0</v>
      </c>
      <c r="H34" s="137">
        <v>0</v>
      </c>
      <c r="I34" s="137">
        <v>0</v>
      </c>
      <c r="J34" s="137">
        <v>0</v>
      </c>
      <c r="K34" s="137">
        <v>0</v>
      </c>
      <c r="L34" s="137">
        <v>0</v>
      </c>
      <c r="M34" s="137">
        <v>0</v>
      </c>
      <c r="N34" s="137">
        <v>0</v>
      </c>
      <c r="O34" s="137">
        <v>0</v>
      </c>
      <c r="P34" s="137">
        <v>0</v>
      </c>
      <c r="Q34" s="137">
        <v>0</v>
      </c>
      <c r="R34" s="137">
        <v>0</v>
      </c>
      <c r="S34" s="46">
        <f t="shared" si="2"/>
        <v>0</v>
      </c>
      <c r="T34" s="649"/>
      <c r="U34" s="631"/>
      <c r="V34" s="648"/>
      <c r="W34" s="648"/>
    </row>
    <row r="35" spans="1:23" ht="12.75" hidden="1" customHeight="1" x14ac:dyDescent="0.2">
      <c r="A35" s="631"/>
      <c r="B35" s="631"/>
      <c r="C35" s="646"/>
      <c r="D35" s="39" t="s">
        <v>609</v>
      </c>
      <c r="E35" s="600"/>
      <c r="F35" s="652">
        <v>0</v>
      </c>
      <c r="G35" s="137">
        <v>0</v>
      </c>
      <c r="H35" s="137">
        <v>0</v>
      </c>
      <c r="I35" s="137">
        <v>0</v>
      </c>
      <c r="J35" s="137">
        <v>0</v>
      </c>
      <c r="K35" s="137">
        <v>0</v>
      </c>
      <c r="L35" s="137">
        <v>0</v>
      </c>
      <c r="M35" s="137">
        <v>0</v>
      </c>
      <c r="N35" s="137">
        <v>0</v>
      </c>
      <c r="O35" s="137">
        <v>0</v>
      </c>
      <c r="P35" s="137">
        <v>0</v>
      </c>
      <c r="Q35" s="137">
        <v>0</v>
      </c>
      <c r="R35" s="137">
        <v>0</v>
      </c>
      <c r="S35" s="46">
        <f>SUM(G35:R35)</f>
        <v>0</v>
      </c>
      <c r="T35" s="649"/>
      <c r="U35" s="631"/>
      <c r="V35" s="648"/>
      <c r="W35" s="648"/>
    </row>
    <row r="36" spans="1:23" ht="12.75" hidden="1" x14ac:dyDescent="0.2">
      <c r="A36" s="631"/>
      <c r="B36" s="631"/>
      <c r="C36" s="646"/>
      <c r="D36" s="39" t="s">
        <v>610</v>
      </c>
      <c r="E36" s="600"/>
      <c r="F36" s="652">
        <v>0</v>
      </c>
      <c r="G36" s="137">
        <v>0</v>
      </c>
      <c r="H36" s="137">
        <v>0</v>
      </c>
      <c r="I36" s="137">
        <v>0</v>
      </c>
      <c r="J36" s="137">
        <v>0</v>
      </c>
      <c r="K36" s="137">
        <v>0</v>
      </c>
      <c r="L36" s="137">
        <v>0</v>
      </c>
      <c r="M36" s="137">
        <v>0</v>
      </c>
      <c r="N36" s="137">
        <v>0</v>
      </c>
      <c r="O36" s="137">
        <v>0</v>
      </c>
      <c r="P36" s="137">
        <v>0</v>
      </c>
      <c r="Q36" s="137">
        <v>0</v>
      </c>
      <c r="R36" s="137">
        <v>0</v>
      </c>
      <c r="S36" s="46">
        <f>SUM(G36:R36)</f>
        <v>0</v>
      </c>
      <c r="T36" s="649"/>
      <c r="U36" s="631"/>
      <c r="V36" s="648"/>
      <c r="W36" s="648">
        <v>1316271</v>
      </c>
    </row>
    <row r="37" spans="1:23" ht="12.75" hidden="1" x14ac:dyDescent="0.2">
      <c r="A37" s="631"/>
      <c r="B37" s="631"/>
      <c r="C37" s="646"/>
      <c r="D37" s="39" t="s">
        <v>611</v>
      </c>
      <c r="E37" s="600"/>
      <c r="F37" s="652">
        <v>0</v>
      </c>
      <c r="G37" s="137">
        <v>0</v>
      </c>
      <c r="H37" s="137">
        <v>0</v>
      </c>
      <c r="I37" s="137">
        <v>0</v>
      </c>
      <c r="J37" s="137">
        <v>0</v>
      </c>
      <c r="K37" s="137">
        <v>0</v>
      </c>
      <c r="L37" s="137">
        <v>0</v>
      </c>
      <c r="M37" s="137">
        <v>0</v>
      </c>
      <c r="N37" s="137">
        <v>0</v>
      </c>
      <c r="O37" s="137">
        <v>0</v>
      </c>
      <c r="P37" s="137">
        <v>0</v>
      </c>
      <c r="Q37" s="137">
        <v>0</v>
      </c>
      <c r="R37" s="137">
        <v>0</v>
      </c>
      <c r="S37" s="46">
        <f>SUM(G37:R37)</f>
        <v>0</v>
      </c>
      <c r="T37" s="649"/>
      <c r="U37" s="631"/>
      <c r="V37" s="648"/>
      <c r="W37" s="648"/>
    </row>
    <row r="38" spans="1:23" ht="12.75" hidden="1" x14ac:dyDescent="0.2">
      <c r="A38" s="631"/>
      <c r="B38" s="631"/>
      <c r="C38" s="646"/>
      <c r="D38" s="650" t="s">
        <v>612</v>
      </c>
      <c r="E38" s="600"/>
      <c r="F38" s="137">
        <v>0</v>
      </c>
      <c r="G38" s="137">
        <v>0</v>
      </c>
      <c r="H38" s="137">
        <v>0</v>
      </c>
      <c r="I38" s="137">
        <v>0</v>
      </c>
      <c r="J38" s="137">
        <v>0</v>
      </c>
      <c r="K38" s="137">
        <v>0</v>
      </c>
      <c r="L38" s="137">
        <v>0</v>
      </c>
      <c r="M38" s="137">
        <v>0</v>
      </c>
      <c r="N38" s="137">
        <v>0</v>
      </c>
      <c r="O38" s="137">
        <v>0</v>
      </c>
      <c r="P38" s="137">
        <v>0</v>
      </c>
      <c r="Q38" s="137">
        <v>0</v>
      </c>
      <c r="R38" s="137">
        <v>0</v>
      </c>
      <c r="S38" s="46">
        <f>SUM(G38:R38)</f>
        <v>0</v>
      </c>
      <c r="T38" s="649"/>
      <c r="U38" s="631"/>
      <c r="V38" s="648"/>
      <c r="W38" s="648"/>
    </row>
    <row r="39" spans="1:23" ht="12.75" customHeight="1" x14ac:dyDescent="0.2">
      <c r="A39" s="631"/>
      <c r="B39" s="631"/>
      <c r="C39" s="646"/>
      <c r="D39" s="650"/>
      <c r="E39" s="55"/>
      <c r="F39" s="137"/>
      <c r="G39" s="137"/>
      <c r="H39" s="137"/>
      <c r="I39" s="137"/>
      <c r="J39" s="137"/>
      <c r="K39" s="137"/>
      <c r="L39" s="137"/>
      <c r="M39" s="137"/>
      <c r="N39" s="137"/>
      <c r="O39" s="137"/>
      <c r="P39" s="137"/>
      <c r="Q39" s="137"/>
      <c r="R39" s="137"/>
      <c r="S39" s="46"/>
      <c r="T39" s="649"/>
      <c r="U39" s="631"/>
      <c r="V39" s="648"/>
      <c r="W39" s="648"/>
    </row>
    <row r="40" spans="1:23" ht="12.75" x14ac:dyDescent="0.2">
      <c r="A40" s="631"/>
      <c r="B40" s="631"/>
      <c r="C40" s="646" t="s">
        <v>613</v>
      </c>
      <c r="D40" s="639"/>
      <c r="E40" s="656"/>
      <c r="F40" s="203">
        <f t="shared" ref="F40:R40" si="3">SUM(F41:F49)</f>
        <v>-480432</v>
      </c>
      <c r="G40" s="203">
        <f>SUM(G41:G49)</f>
        <v>-18</v>
      </c>
      <c r="H40" s="203">
        <f t="shared" si="3"/>
        <v>-111334</v>
      </c>
      <c r="I40" s="203">
        <f t="shared" si="3"/>
        <v>-2</v>
      </c>
      <c r="J40" s="203">
        <f t="shared" si="3"/>
        <v>0</v>
      </c>
      <c r="K40" s="203">
        <f t="shared" si="3"/>
        <v>-1</v>
      </c>
      <c r="L40" s="203">
        <f t="shared" si="3"/>
        <v>-66260</v>
      </c>
      <c r="M40" s="203">
        <f t="shared" si="3"/>
        <v>-260</v>
      </c>
      <c r="N40" s="203">
        <f t="shared" si="3"/>
        <v>0</v>
      </c>
      <c r="O40" s="203">
        <f t="shared" si="3"/>
        <v>-2</v>
      </c>
      <c r="P40" s="203">
        <f>SUM(P41:P49)</f>
        <v>-8</v>
      </c>
      <c r="Q40" s="203">
        <f t="shared" si="3"/>
        <v>-410372</v>
      </c>
      <c r="R40" s="203">
        <f t="shared" si="3"/>
        <v>-86</v>
      </c>
      <c r="S40" s="203">
        <f>SUM(S41:S49)</f>
        <v>-588343</v>
      </c>
      <c r="T40" s="649"/>
      <c r="U40" s="631"/>
      <c r="V40" s="648"/>
      <c r="W40" s="648"/>
    </row>
    <row r="41" spans="1:23" ht="12.75" hidden="1" x14ac:dyDescent="0.2">
      <c r="A41" s="631"/>
      <c r="B41" s="631"/>
      <c r="C41" s="657"/>
      <c r="D41" s="650" t="s">
        <v>614</v>
      </c>
      <c r="E41" s="600"/>
      <c r="F41" s="137">
        <v>0</v>
      </c>
      <c r="G41" s="46">
        <v>0</v>
      </c>
      <c r="H41" s="46">
        <v>0</v>
      </c>
      <c r="I41" s="46">
        <v>0</v>
      </c>
      <c r="J41" s="46">
        <v>0</v>
      </c>
      <c r="K41" s="46">
        <v>0</v>
      </c>
      <c r="L41" s="46">
        <v>0</v>
      </c>
      <c r="M41" s="46">
        <v>0</v>
      </c>
      <c r="N41" s="46">
        <v>0</v>
      </c>
      <c r="O41" s="46">
        <v>0</v>
      </c>
      <c r="P41" s="46">
        <v>0</v>
      </c>
      <c r="Q41" s="46">
        <v>0</v>
      </c>
      <c r="R41" s="46">
        <v>0</v>
      </c>
      <c r="S41" s="46">
        <f t="shared" ref="S41:S49" si="4">SUM(G41:R41)</f>
        <v>0</v>
      </c>
      <c r="T41" s="647"/>
      <c r="U41" s="631"/>
      <c r="V41" s="648"/>
      <c r="W41" s="648"/>
    </row>
    <row r="42" spans="1:23" ht="12.75" hidden="1" x14ac:dyDescent="0.2">
      <c r="A42" s="631"/>
      <c r="B42" s="631"/>
      <c r="C42" s="657"/>
      <c r="D42" s="650" t="s">
        <v>615</v>
      </c>
      <c r="E42" s="600"/>
      <c r="F42" s="652">
        <v>0</v>
      </c>
      <c r="G42" s="46">
        <v>0</v>
      </c>
      <c r="H42" s="46">
        <v>0</v>
      </c>
      <c r="I42" s="46">
        <v>0</v>
      </c>
      <c r="J42" s="46">
        <v>0</v>
      </c>
      <c r="K42" s="46">
        <v>0</v>
      </c>
      <c r="L42" s="46">
        <v>0</v>
      </c>
      <c r="M42" s="46">
        <v>0</v>
      </c>
      <c r="N42" s="46">
        <v>0</v>
      </c>
      <c r="O42" s="46">
        <v>0</v>
      </c>
      <c r="P42" s="46">
        <v>0</v>
      </c>
      <c r="Q42" s="46">
        <v>0</v>
      </c>
      <c r="R42" s="46">
        <v>0</v>
      </c>
      <c r="S42" s="46">
        <f t="shared" si="4"/>
        <v>0</v>
      </c>
      <c r="T42" s="647"/>
      <c r="U42" s="631"/>
      <c r="V42" s="648"/>
      <c r="W42" s="648"/>
    </row>
    <row r="43" spans="1:23" ht="12.75" x14ac:dyDescent="0.2">
      <c r="A43" s="631"/>
      <c r="B43" s="631"/>
      <c r="C43" s="657"/>
      <c r="D43" s="39" t="s">
        <v>616</v>
      </c>
      <c r="E43" s="656" t="s">
        <v>88</v>
      </c>
      <c r="F43" s="652">
        <v>-111331</v>
      </c>
      <c r="G43" s="46">
        <v>0</v>
      </c>
      <c r="H43" s="46">
        <v>-111331</v>
      </c>
      <c r="I43" s="46">
        <v>0</v>
      </c>
      <c r="J43" s="46">
        <v>0</v>
      </c>
      <c r="K43" s="46">
        <v>0</v>
      </c>
      <c r="L43" s="46">
        <v>0</v>
      </c>
      <c r="M43" s="46">
        <v>0</v>
      </c>
      <c r="N43" s="46">
        <v>0</v>
      </c>
      <c r="O43" s="46">
        <v>0</v>
      </c>
      <c r="P43" s="46">
        <v>0</v>
      </c>
      <c r="Q43" s="46">
        <v>0</v>
      </c>
      <c r="R43" s="46">
        <v>0</v>
      </c>
      <c r="S43" s="46">
        <f t="shared" si="4"/>
        <v>-111331</v>
      </c>
      <c r="T43" s="647"/>
      <c r="U43" s="631"/>
      <c r="V43" s="648"/>
      <c r="W43" s="648"/>
    </row>
    <row r="44" spans="1:23" ht="12.75" customHeight="1" x14ac:dyDescent="0.2">
      <c r="A44" s="631"/>
      <c r="B44" s="631"/>
      <c r="C44" s="657"/>
      <c r="D44" s="650" t="s">
        <v>617</v>
      </c>
      <c r="E44" s="600"/>
      <c r="F44" s="652">
        <v>-66520</v>
      </c>
      <c r="G44" s="46">
        <v>0</v>
      </c>
      <c r="H44" s="46">
        <v>0</v>
      </c>
      <c r="I44" s="46">
        <v>0</v>
      </c>
      <c r="J44" s="46">
        <v>0</v>
      </c>
      <c r="K44" s="46">
        <v>0</v>
      </c>
      <c r="L44" s="46">
        <v>-66260</v>
      </c>
      <c r="M44" s="46">
        <v>-260</v>
      </c>
      <c r="N44" s="46">
        <v>0</v>
      </c>
      <c r="O44" s="46">
        <v>0</v>
      </c>
      <c r="P44" s="46">
        <v>0</v>
      </c>
      <c r="Q44" s="46">
        <v>0</v>
      </c>
      <c r="R44" s="46">
        <v>0</v>
      </c>
      <c r="S44" s="46">
        <f t="shared" si="4"/>
        <v>-66520</v>
      </c>
      <c r="T44" s="647"/>
      <c r="U44" s="631"/>
      <c r="V44" s="648"/>
      <c r="W44" s="648"/>
    </row>
    <row r="45" spans="1:23" ht="12.75" x14ac:dyDescent="0.2">
      <c r="A45" s="631"/>
      <c r="B45" s="631"/>
      <c r="C45" s="657"/>
      <c r="D45" s="650" t="s">
        <v>618</v>
      </c>
      <c r="E45" s="600"/>
      <c r="F45" s="652">
        <v>-302552</v>
      </c>
      <c r="G45" s="46">
        <v>0</v>
      </c>
      <c r="H45" s="46">
        <v>0</v>
      </c>
      <c r="I45" s="46">
        <v>0</v>
      </c>
      <c r="J45" s="46">
        <v>0</v>
      </c>
      <c r="K45" s="46">
        <v>0</v>
      </c>
      <c r="L45" s="46">
        <v>0</v>
      </c>
      <c r="M45" s="46">
        <v>0</v>
      </c>
      <c r="N45" s="46">
        <v>0</v>
      </c>
      <c r="O45" s="46">
        <v>0</v>
      </c>
      <c r="P45" s="46">
        <v>0</v>
      </c>
      <c r="Q45" s="46">
        <v>-410339</v>
      </c>
      <c r="R45" s="46">
        <v>0</v>
      </c>
      <c r="S45" s="46">
        <f t="shared" si="4"/>
        <v>-410339</v>
      </c>
      <c r="T45" s="647"/>
      <c r="U45" s="631"/>
      <c r="V45" s="648"/>
      <c r="W45" s="648"/>
    </row>
    <row r="46" spans="1:23" ht="12.75" hidden="1" x14ac:dyDescent="0.2">
      <c r="A46" s="631"/>
      <c r="B46" s="631"/>
      <c r="C46" s="657"/>
      <c r="D46" s="650" t="s">
        <v>619</v>
      </c>
      <c r="E46" s="600"/>
      <c r="F46" s="137">
        <v>0</v>
      </c>
      <c r="G46" s="46">
        <v>0</v>
      </c>
      <c r="H46" s="46">
        <v>0</v>
      </c>
      <c r="I46" s="46">
        <v>0</v>
      </c>
      <c r="J46" s="46">
        <v>0</v>
      </c>
      <c r="K46" s="46">
        <v>0</v>
      </c>
      <c r="L46" s="46">
        <v>0</v>
      </c>
      <c r="M46" s="46">
        <v>0</v>
      </c>
      <c r="N46" s="46">
        <v>0</v>
      </c>
      <c r="O46" s="46">
        <v>0</v>
      </c>
      <c r="P46" s="46">
        <v>0</v>
      </c>
      <c r="Q46" s="46">
        <v>0</v>
      </c>
      <c r="R46" s="46">
        <v>0</v>
      </c>
      <c r="S46" s="46">
        <f t="shared" si="4"/>
        <v>0</v>
      </c>
      <c r="T46" s="647"/>
      <c r="U46" s="631"/>
      <c r="V46" s="648"/>
      <c r="W46" s="648"/>
    </row>
    <row r="47" spans="1:23" ht="12.75" hidden="1" customHeight="1" x14ac:dyDescent="0.2">
      <c r="A47" s="631"/>
      <c r="B47" s="631"/>
      <c r="C47" s="657"/>
      <c r="D47" s="39" t="s">
        <v>620</v>
      </c>
      <c r="E47" s="55"/>
      <c r="F47" s="137">
        <v>0</v>
      </c>
      <c r="G47" s="46">
        <v>0</v>
      </c>
      <c r="H47" s="46">
        <v>0</v>
      </c>
      <c r="I47" s="46">
        <v>0</v>
      </c>
      <c r="J47" s="46">
        <v>0</v>
      </c>
      <c r="K47" s="46">
        <v>0</v>
      </c>
      <c r="L47" s="46">
        <v>0</v>
      </c>
      <c r="M47" s="46">
        <v>0</v>
      </c>
      <c r="N47" s="46">
        <v>0</v>
      </c>
      <c r="O47" s="46">
        <v>0</v>
      </c>
      <c r="P47" s="46">
        <v>0</v>
      </c>
      <c r="Q47" s="46">
        <v>0</v>
      </c>
      <c r="R47" s="46">
        <v>0</v>
      </c>
      <c r="S47" s="46">
        <f t="shared" si="4"/>
        <v>0</v>
      </c>
      <c r="T47" s="647"/>
      <c r="U47" s="631"/>
      <c r="V47" s="648"/>
      <c r="W47" s="648"/>
    </row>
    <row r="48" spans="1:23" ht="12.75" hidden="1" customHeight="1" x14ac:dyDescent="0.2">
      <c r="A48" s="631"/>
      <c r="B48" s="631"/>
      <c r="C48" s="657"/>
      <c r="D48" s="39" t="s">
        <v>621</v>
      </c>
      <c r="E48" s="55"/>
      <c r="F48" s="137">
        <v>0</v>
      </c>
      <c r="G48" s="46">
        <v>0</v>
      </c>
      <c r="H48" s="46">
        <v>0</v>
      </c>
      <c r="I48" s="46">
        <v>0</v>
      </c>
      <c r="J48" s="46">
        <v>0</v>
      </c>
      <c r="K48" s="46">
        <v>0</v>
      </c>
      <c r="L48" s="46">
        <v>0</v>
      </c>
      <c r="M48" s="46">
        <v>0</v>
      </c>
      <c r="N48" s="46">
        <v>0</v>
      </c>
      <c r="O48" s="46">
        <v>0</v>
      </c>
      <c r="P48" s="46">
        <v>0</v>
      </c>
      <c r="Q48" s="46">
        <v>0</v>
      </c>
      <c r="R48" s="46">
        <v>0</v>
      </c>
      <c r="S48" s="46">
        <f t="shared" si="4"/>
        <v>0</v>
      </c>
      <c r="T48" s="647"/>
      <c r="U48" s="631"/>
      <c r="V48" s="648"/>
      <c r="W48" s="648"/>
    </row>
    <row r="49" spans="1:23" ht="12.75" customHeight="1" x14ac:dyDescent="0.2">
      <c r="A49" s="631"/>
      <c r="B49" s="631"/>
      <c r="C49" s="657"/>
      <c r="D49" s="39" t="s">
        <v>622</v>
      </c>
      <c r="E49" s="55"/>
      <c r="F49" s="137">
        <v>-29</v>
      </c>
      <c r="G49" s="46">
        <v>-18</v>
      </c>
      <c r="H49" s="46">
        <v>-3</v>
      </c>
      <c r="I49" s="46">
        <v>-2</v>
      </c>
      <c r="J49" s="46">
        <v>0</v>
      </c>
      <c r="K49" s="46">
        <v>-1</v>
      </c>
      <c r="L49" s="46">
        <v>0</v>
      </c>
      <c r="M49" s="46">
        <v>0</v>
      </c>
      <c r="N49" s="46">
        <v>0</v>
      </c>
      <c r="O49" s="46">
        <v>-2</v>
      </c>
      <c r="P49" s="46">
        <v>-8</v>
      </c>
      <c r="Q49" s="46">
        <v>-33</v>
      </c>
      <c r="R49" s="46">
        <v>-86</v>
      </c>
      <c r="S49" s="46">
        <f t="shared" si="4"/>
        <v>-153</v>
      </c>
      <c r="T49" s="647"/>
      <c r="U49" s="631"/>
      <c r="V49" s="648"/>
      <c r="W49" s="648"/>
    </row>
    <row r="50" spans="1:23" ht="12.75" hidden="1" customHeight="1" x14ac:dyDescent="0.2">
      <c r="A50" s="631"/>
      <c r="B50" s="631"/>
      <c r="C50" s="657"/>
      <c r="D50" s="39"/>
      <c r="E50" s="55"/>
      <c r="F50" s="137"/>
      <c r="G50" s="46"/>
      <c r="H50" s="46"/>
      <c r="I50" s="46"/>
      <c r="J50" s="46"/>
      <c r="K50" s="46"/>
      <c r="L50" s="46"/>
      <c r="M50" s="46"/>
      <c r="N50" s="46"/>
      <c r="O50" s="46"/>
      <c r="P50" s="46"/>
      <c r="Q50" s="46"/>
      <c r="R50" s="46"/>
      <c r="S50" s="46"/>
      <c r="T50" s="647"/>
      <c r="U50" s="631"/>
      <c r="V50" s="648"/>
      <c r="W50" s="648"/>
    </row>
    <row r="51" spans="1:23" ht="12.75" hidden="1" customHeight="1" x14ac:dyDescent="0.2">
      <c r="A51" s="631"/>
      <c r="B51" s="631"/>
      <c r="C51" s="657"/>
      <c r="D51" s="39"/>
      <c r="E51" s="55"/>
      <c r="F51" s="137"/>
      <c r="G51" s="46"/>
      <c r="H51" s="46"/>
      <c r="I51" s="46"/>
      <c r="J51" s="46"/>
      <c r="K51" s="46"/>
      <c r="L51" s="46"/>
      <c r="M51" s="46"/>
      <c r="N51" s="46"/>
      <c r="O51" s="46"/>
      <c r="P51" s="46"/>
      <c r="Q51" s="46"/>
      <c r="R51" s="46"/>
      <c r="S51" s="46"/>
      <c r="T51" s="647"/>
      <c r="U51" s="631"/>
      <c r="V51" s="648"/>
      <c r="W51" s="648"/>
    </row>
    <row r="52" spans="1:23" ht="12.75" hidden="1" customHeight="1" x14ac:dyDescent="0.2">
      <c r="A52" s="631"/>
      <c r="B52" s="631"/>
      <c r="C52" s="657"/>
      <c r="D52" s="39"/>
      <c r="E52" s="55"/>
      <c r="F52" s="137"/>
      <c r="G52" s="46"/>
      <c r="H52" s="46"/>
      <c r="I52" s="46"/>
      <c r="J52" s="46"/>
      <c r="K52" s="46"/>
      <c r="L52" s="46"/>
      <c r="M52" s="46"/>
      <c r="N52" s="46"/>
      <c r="O52" s="46"/>
      <c r="P52" s="46"/>
      <c r="Q52" s="46"/>
      <c r="R52" s="46"/>
      <c r="S52" s="46"/>
      <c r="T52" s="647"/>
      <c r="U52" s="631"/>
      <c r="V52" s="648"/>
      <c r="W52" s="648"/>
    </row>
    <row r="53" spans="1:23" ht="12.75" hidden="1" customHeight="1" x14ac:dyDescent="0.2">
      <c r="A53" s="631"/>
      <c r="B53" s="631"/>
      <c r="C53" s="657"/>
      <c r="D53" s="39"/>
      <c r="E53" s="55"/>
      <c r="F53" s="137"/>
      <c r="G53" s="46"/>
      <c r="H53" s="46"/>
      <c r="I53" s="46"/>
      <c r="J53" s="46"/>
      <c r="K53" s="46"/>
      <c r="L53" s="46"/>
      <c r="M53" s="46"/>
      <c r="N53" s="46"/>
      <c r="O53" s="46"/>
      <c r="P53" s="46"/>
      <c r="Q53" s="46"/>
      <c r="R53" s="46"/>
      <c r="S53" s="46"/>
      <c r="T53" s="647"/>
      <c r="U53" s="631"/>
      <c r="V53" s="648"/>
      <c r="W53" s="648"/>
    </row>
    <row r="54" spans="1:23" ht="12.75" hidden="1" customHeight="1" x14ac:dyDescent="0.2">
      <c r="A54" s="631"/>
      <c r="B54" s="631"/>
      <c r="C54" s="657"/>
      <c r="D54" s="39"/>
      <c r="E54" s="55"/>
      <c r="F54" s="137"/>
      <c r="G54" s="46"/>
      <c r="H54" s="46"/>
      <c r="I54" s="46"/>
      <c r="J54" s="46"/>
      <c r="K54" s="46"/>
      <c r="L54" s="46"/>
      <c r="M54" s="46"/>
      <c r="N54" s="46"/>
      <c r="O54" s="46"/>
      <c r="P54" s="46"/>
      <c r="Q54" s="46"/>
      <c r="R54" s="46"/>
      <c r="S54" s="46"/>
      <c r="T54" s="647"/>
      <c r="U54" s="631"/>
      <c r="V54" s="648"/>
      <c r="W54" s="648"/>
    </row>
    <row r="55" spans="1:23" ht="12.75" hidden="1" customHeight="1" x14ac:dyDescent="0.2">
      <c r="A55" s="631"/>
      <c r="B55" s="631"/>
      <c r="C55" s="657"/>
      <c r="D55" s="39"/>
      <c r="E55" s="55"/>
      <c r="F55" s="137"/>
      <c r="G55" s="46"/>
      <c r="H55" s="46"/>
      <c r="I55" s="46"/>
      <c r="J55" s="46"/>
      <c r="K55" s="46"/>
      <c r="L55" s="46"/>
      <c r="M55" s="46"/>
      <c r="N55" s="46"/>
      <c r="O55" s="46"/>
      <c r="P55" s="46"/>
      <c r="Q55" s="46"/>
      <c r="R55" s="46"/>
      <c r="S55" s="46"/>
      <c r="T55" s="647"/>
      <c r="U55" s="631"/>
      <c r="V55" s="648"/>
      <c r="W55" s="648"/>
    </row>
    <row r="56" spans="1:23" ht="12.75" hidden="1" customHeight="1" x14ac:dyDescent="0.2">
      <c r="A56" s="631"/>
      <c r="B56" s="631"/>
      <c r="C56" s="657"/>
      <c r="D56" s="39"/>
      <c r="E56" s="55"/>
      <c r="F56" s="137"/>
      <c r="G56" s="46"/>
      <c r="H56" s="46"/>
      <c r="I56" s="46"/>
      <c r="J56" s="46"/>
      <c r="K56" s="46"/>
      <c r="L56" s="46"/>
      <c r="M56" s="46"/>
      <c r="N56" s="46"/>
      <c r="O56" s="46"/>
      <c r="P56" s="46"/>
      <c r="Q56" s="46"/>
      <c r="R56" s="46"/>
      <c r="S56" s="46"/>
      <c r="T56" s="647"/>
      <c r="U56" s="631"/>
      <c r="V56" s="648"/>
      <c r="W56" s="648"/>
    </row>
    <row r="57" spans="1:23" ht="12.75" hidden="1" customHeight="1" x14ac:dyDescent="0.2">
      <c r="A57" s="631"/>
      <c r="B57" s="631"/>
      <c r="C57" s="657"/>
      <c r="D57" s="39"/>
      <c r="E57" s="55"/>
      <c r="F57" s="137"/>
      <c r="G57" s="46"/>
      <c r="H57" s="46"/>
      <c r="I57" s="46"/>
      <c r="J57" s="46"/>
      <c r="K57" s="46"/>
      <c r="L57" s="46"/>
      <c r="M57" s="46"/>
      <c r="N57" s="46"/>
      <c r="O57" s="46"/>
      <c r="P57" s="46"/>
      <c r="Q57" s="46"/>
      <c r="R57" s="46"/>
      <c r="S57" s="46"/>
      <c r="T57" s="647"/>
      <c r="U57" s="631"/>
      <c r="V57" s="648"/>
      <c r="W57" s="648"/>
    </row>
    <row r="58" spans="1:23" ht="12.75" hidden="1" customHeight="1" x14ac:dyDescent="0.2">
      <c r="A58" s="631"/>
      <c r="B58" s="631"/>
      <c r="C58" s="657"/>
      <c r="D58" s="39"/>
      <c r="E58" s="55"/>
      <c r="F58" s="137"/>
      <c r="G58" s="46"/>
      <c r="H58" s="46"/>
      <c r="I58" s="46"/>
      <c r="J58" s="46"/>
      <c r="K58" s="46"/>
      <c r="L58" s="46"/>
      <c r="M58" s="46"/>
      <c r="N58" s="46"/>
      <c r="O58" s="46"/>
      <c r="P58" s="46"/>
      <c r="Q58" s="46"/>
      <c r="R58" s="46"/>
      <c r="S58" s="46"/>
      <c r="T58" s="647"/>
      <c r="U58" s="631"/>
      <c r="V58" s="648"/>
      <c r="W58" s="648"/>
    </row>
    <row r="59" spans="1:23" ht="12.75" hidden="1" customHeight="1" x14ac:dyDescent="0.2">
      <c r="A59" s="631"/>
      <c r="B59" s="631"/>
      <c r="C59" s="657"/>
      <c r="D59" s="39"/>
      <c r="E59" s="55"/>
      <c r="F59" s="137"/>
      <c r="G59" s="46"/>
      <c r="H59" s="46"/>
      <c r="I59" s="46"/>
      <c r="J59" s="46"/>
      <c r="K59" s="46"/>
      <c r="L59" s="46"/>
      <c r="M59" s="46"/>
      <c r="N59" s="46"/>
      <c r="O59" s="46"/>
      <c r="P59" s="46"/>
      <c r="Q59" s="46"/>
      <c r="R59" s="46"/>
      <c r="S59" s="46"/>
      <c r="T59" s="647"/>
      <c r="U59" s="631"/>
      <c r="V59" s="648"/>
      <c r="W59" s="648"/>
    </row>
    <row r="60" spans="1:23" ht="12.75" hidden="1" customHeight="1" x14ac:dyDescent="0.2">
      <c r="A60" s="631"/>
      <c r="B60" s="631"/>
      <c r="C60" s="657"/>
      <c r="D60" s="39"/>
      <c r="E60" s="55"/>
      <c r="F60" s="137"/>
      <c r="G60" s="46"/>
      <c r="H60" s="46"/>
      <c r="I60" s="46"/>
      <c r="J60" s="46"/>
      <c r="K60" s="46"/>
      <c r="L60" s="46"/>
      <c r="M60" s="46"/>
      <c r="N60" s="46"/>
      <c r="O60" s="46"/>
      <c r="P60" s="46"/>
      <c r="Q60" s="46"/>
      <c r="R60" s="46"/>
      <c r="S60" s="46"/>
      <c r="T60" s="647"/>
      <c r="U60" s="631"/>
      <c r="V60" s="648"/>
      <c r="W60" s="648"/>
    </row>
    <row r="61" spans="1:23" ht="12.75" hidden="1" customHeight="1" x14ac:dyDescent="0.2">
      <c r="A61" s="631"/>
      <c r="B61" s="631"/>
      <c r="C61" s="657"/>
      <c r="D61" s="39"/>
      <c r="E61" s="55"/>
      <c r="F61" s="137"/>
      <c r="G61" s="46"/>
      <c r="H61" s="46"/>
      <c r="I61" s="46"/>
      <c r="J61" s="46"/>
      <c r="K61" s="46"/>
      <c r="L61" s="46"/>
      <c r="M61" s="46"/>
      <c r="N61" s="46"/>
      <c r="O61" s="46"/>
      <c r="P61" s="46"/>
      <c r="Q61" s="46"/>
      <c r="R61" s="46"/>
      <c r="S61" s="46"/>
      <c r="T61" s="647"/>
      <c r="U61" s="631"/>
      <c r="V61" s="648"/>
      <c r="W61" s="648"/>
    </row>
    <row r="62" spans="1:23" ht="12.75" hidden="1" customHeight="1" x14ac:dyDescent="0.2">
      <c r="A62" s="631"/>
      <c r="B62" s="631"/>
      <c r="C62" s="657"/>
      <c r="D62" s="39"/>
      <c r="E62" s="55"/>
      <c r="F62" s="137"/>
      <c r="G62" s="46"/>
      <c r="H62" s="46"/>
      <c r="I62" s="46"/>
      <c r="J62" s="46"/>
      <c r="K62" s="46"/>
      <c r="L62" s="46"/>
      <c r="M62" s="46"/>
      <c r="N62" s="46"/>
      <c r="O62" s="46"/>
      <c r="P62" s="46"/>
      <c r="Q62" s="46"/>
      <c r="R62" s="46"/>
      <c r="S62" s="46"/>
      <c r="T62" s="647"/>
      <c r="U62" s="631"/>
      <c r="V62" s="648"/>
      <c r="W62" s="648"/>
    </row>
    <row r="63" spans="1:23" ht="12.75" hidden="1" x14ac:dyDescent="0.2">
      <c r="A63" s="631"/>
      <c r="B63" s="631"/>
      <c r="C63" s="657"/>
      <c r="D63" s="39"/>
      <c r="E63" s="55"/>
      <c r="F63" s="137"/>
      <c r="G63" s="46"/>
      <c r="H63" s="46"/>
      <c r="I63" s="46"/>
      <c r="J63" s="46"/>
      <c r="K63" s="46"/>
      <c r="L63" s="46"/>
      <c r="M63" s="46"/>
      <c r="N63" s="46"/>
      <c r="O63" s="46"/>
      <c r="P63" s="46"/>
      <c r="Q63" s="46"/>
      <c r="R63" s="46"/>
      <c r="S63" s="46"/>
      <c r="T63" s="647"/>
      <c r="U63" s="631"/>
      <c r="V63" s="648"/>
      <c r="W63" s="648"/>
    </row>
    <row r="64" spans="1:23" ht="12.75" customHeight="1" x14ac:dyDescent="0.2">
      <c r="A64" s="631"/>
      <c r="B64" s="631"/>
      <c r="C64" s="658"/>
      <c r="D64" s="659"/>
      <c r="E64" s="660"/>
      <c r="F64" s="661"/>
      <c r="G64" s="97"/>
      <c r="H64" s="97"/>
      <c r="I64" s="97"/>
      <c r="J64" s="97"/>
      <c r="K64" s="97"/>
      <c r="L64" s="97"/>
      <c r="M64" s="97"/>
      <c r="N64" s="97"/>
      <c r="O64" s="97"/>
      <c r="P64" s="97"/>
      <c r="Q64" s="97"/>
      <c r="R64" s="97"/>
      <c r="S64" s="97"/>
      <c r="T64" s="647"/>
      <c r="U64" s="631"/>
      <c r="V64" s="648"/>
      <c r="W64" s="648"/>
    </row>
    <row r="65" spans="1:24" ht="12.75" hidden="1" customHeight="1" x14ac:dyDescent="0.2">
      <c r="A65" s="631"/>
      <c r="B65" s="631"/>
      <c r="C65" s="662" t="s">
        <v>623</v>
      </c>
      <c r="D65" s="663"/>
      <c r="E65" s="664"/>
      <c r="F65" s="665">
        <v>0</v>
      </c>
      <c r="G65" s="97">
        <v>0</v>
      </c>
      <c r="H65" s="97">
        <v>0</v>
      </c>
      <c r="I65" s="97">
        <v>0</v>
      </c>
      <c r="J65" s="97">
        <v>0</v>
      </c>
      <c r="K65" s="97">
        <v>0</v>
      </c>
      <c r="L65" s="97">
        <v>0</v>
      </c>
      <c r="M65" s="97">
        <v>0</v>
      </c>
      <c r="N65" s="97">
        <v>0</v>
      </c>
      <c r="O65" s="97">
        <v>0</v>
      </c>
      <c r="P65" s="97">
        <v>0</v>
      </c>
      <c r="Q65" s="97">
        <v>0</v>
      </c>
      <c r="R65" s="97">
        <v>0</v>
      </c>
      <c r="S65" s="97">
        <f>SUM(G65:R65)</f>
        <v>0</v>
      </c>
      <c r="T65" s="647"/>
      <c r="U65" s="631"/>
      <c r="V65" s="648"/>
      <c r="W65" s="648"/>
    </row>
    <row r="66" spans="1:24" s="669" customFormat="1" ht="15" customHeight="1" x14ac:dyDescent="0.2">
      <c r="A66" s="631"/>
      <c r="B66" s="631"/>
      <c r="C66" s="666" t="s">
        <v>624</v>
      </c>
      <c r="D66" s="334"/>
      <c r="E66" s="586"/>
      <c r="F66" s="119"/>
      <c r="G66" s="119"/>
      <c r="H66" s="119"/>
      <c r="I66" s="119"/>
      <c r="J66" s="119"/>
      <c r="K66" s="119"/>
      <c r="L66" s="119"/>
      <c r="M66" s="482"/>
      <c r="N66" s="482"/>
      <c r="O66" s="482"/>
      <c r="P66" s="482"/>
      <c r="Q66" s="482"/>
      <c r="R66" s="482"/>
      <c r="S66" s="482"/>
      <c r="T66" s="667"/>
      <c r="U66" s="668"/>
    </row>
    <row r="67" spans="1:24" ht="12.75" x14ac:dyDescent="0.2">
      <c r="A67" s="631"/>
      <c r="B67" s="631"/>
      <c r="C67" s="666" t="s">
        <v>625</v>
      </c>
      <c r="D67" s="334"/>
      <c r="E67" s="50"/>
      <c r="F67" s="19"/>
      <c r="G67" s="19"/>
      <c r="H67" s="38"/>
      <c r="I67" s="19"/>
      <c r="J67" s="19"/>
      <c r="K67" s="19"/>
      <c r="L67" s="19"/>
      <c r="M67" s="19"/>
      <c r="N67" s="19"/>
      <c r="O67" s="19"/>
      <c r="P67" s="19"/>
      <c r="Q67" s="19"/>
      <c r="R67" s="19"/>
      <c r="S67" s="38"/>
      <c r="T67" s="667"/>
      <c r="U67" s="631"/>
      <c r="V67" s="670"/>
      <c r="X67" s="648"/>
    </row>
    <row r="68" spans="1:24" ht="12.75" x14ac:dyDescent="0.2">
      <c r="A68" s="631"/>
      <c r="B68" s="631"/>
      <c r="C68" s="666"/>
      <c r="D68" s="650"/>
      <c r="E68" s="55"/>
      <c r="F68" s="39"/>
      <c r="G68" s="39"/>
      <c r="H68" s="388"/>
      <c r="I68" s="39"/>
      <c r="J68" s="39"/>
      <c r="K68" s="39"/>
      <c r="L68" s="39"/>
      <c r="M68" s="39"/>
      <c r="N68" s="39"/>
      <c r="O68" s="39"/>
      <c r="P68" s="39"/>
      <c r="Q68" s="39"/>
      <c r="R68" s="39"/>
      <c r="S68" s="39"/>
      <c r="T68" s="667"/>
      <c r="U68" s="631"/>
      <c r="V68" s="670"/>
      <c r="X68" s="648"/>
    </row>
    <row r="69" spans="1:24" ht="12.75" x14ac:dyDescent="0.2">
      <c r="A69" s="631"/>
      <c r="B69" s="631"/>
      <c r="C69" s="650"/>
      <c r="E69" s="39"/>
      <c r="F69" s="39"/>
      <c r="G69" s="39"/>
      <c r="H69" s="388"/>
      <c r="I69" s="39"/>
      <c r="J69" s="39"/>
      <c r="K69" s="39"/>
      <c r="L69" s="39"/>
      <c r="M69" s="39"/>
      <c r="N69" s="39"/>
      <c r="O69" s="39"/>
      <c r="P69" s="39"/>
      <c r="Q69" s="39"/>
      <c r="R69" s="39"/>
      <c r="S69" s="39"/>
      <c r="T69" s="631"/>
      <c r="X69" s="671"/>
    </row>
    <row r="70" spans="1:24" ht="12.75" hidden="1" customHeight="1" x14ac:dyDescent="0.2">
      <c r="C70" s="636" t="s">
        <v>626</v>
      </c>
      <c r="H70" s="670"/>
    </row>
    <row r="71" spans="1:24" ht="12.75" hidden="1" customHeight="1" x14ac:dyDescent="0.2">
      <c r="C71" s="636" t="s">
        <v>627</v>
      </c>
      <c r="H71" s="670"/>
    </row>
    <row r="72" spans="1:24" ht="12.75" hidden="1" customHeight="1" x14ac:dyDescent="0.2">
      <c r="C72" s="636" t="s">
        <v>628</v>
      </c>
      <c r="H72" s="670"/>
    </row>
    <row r="73" spans="1:24" ht="12.75" hidden="1" customHeight="1" x14ac:dyDescent="0.2">
      <c r="C73" s="636" t="s">
        <v>629</v>
      </c>
      <c r="H73" s="670"/>
    </row>
    <row r="74" spans="1:24" ht="12.75" hidden="1" customHeight="1" x14ac:dyDescent="0.2">
      <c r="C74" s="636" t="s">
        <v>630</v>
      </c>
    </row>
    <row r="75" spans="1:24" ht="12.75" hidden="1" customHeight="1" x14ac:dyDescent="0.2">
      <c r="C75" s="636" t="s">
        <v>631</v>
      </c>
    </row>
    <row r="76" spans="1:24" ht="12.75" hidden="1" customHeight="1" x14ac:dyDescent="0.2">
      <c r="C76" s="636" t="s">
        <v>632</v>
      </c>
    </row>
    <row r="77" spans="1:24" ht="12.75" hidden="1" x14ac:dyDescent="0.2">
      <c r="A77" s="631"/>
      <c r="B77" s="631"/>
      <c r="D77" s="672"/>
      <c r="M77" s="670"/>
      <c r="T77" s="667"/>
      <c r="U77" s="631"/>
    </row>
    <row r="78" spans="1:24" ht="12.75" hidden="1" x14ac:dyDescent="0.2">
      <c r="A78" s="631"/>
      <c r="B78" s="631"/>
      <c r="T78" s="667"/>
      <c r="U78" s="631"/>
    </row>
    <row r="79" spans="1:24" ht="12.75" hidden="1" x14ac:dyDescent="0.2">
      <c r="C79" s="673"/>
      <c r="D79" s="673"/>
      <c r="E79" s="674"/>
      <c r="F79" s="674"/>
    </row>
    <row r="80" spans="1:24" ht="12.75" hidden="1" x14ac:dyDescent="0.2">
      <c r="F80" s="670"/>
    </row>
    <row r="81" spans="4:19" ht="12.75" hidden="1" x14ac:dyDescent="0.2"/>
    <row r="82" spans="4:19" ht="12.75" hidden="1" x14ac:dyDescent="0.2"/>
    <row r="83" spans="4:19" ht="12.75" hidden="1" x14ac:dyDescent="0.2"/>
    <row r="84" spans="4:19" ht="12.75" hidden="1" x14ac:dyDescent="0.2"/>
    <row r="85" spans="4:19" ht="12.75" hidden="1" x14ac:dyDescent="0.2"/>
    <row r="86" spans="4:19" ht="12.75" hidden="1" x14ac:dyDescent="0.2"/>
    <row r="87" spans="4:19" s="676" customFormat="1" ht="12.75" x14ac:dyDescent="0.2">
      <c r="E87" s="675"/>
      <c r="F87" s="675"/>
      <c r="G87" s="677"/>
      <c r="H87" s="677"/>
      <c r="I87" s="677"/>
      <c r="J87" s="677"/>
      <c r="K87" s="677"/>
      <c r="L87" s="677"/>
      <c r="M87" s="678"/>
      <c r="N87" s="679"/>
      <c r="O87" s="677"/>
      <c r="P87" s="677"/>
      <c r="Q87" s="677"/>
      <c r="R87" s="677"/>
      <c r="S87" s="680"/>
    </row>
    <row r="88" spans="4:19" s="676" customFormat="1" ht="12.75" x14ac:dyDescent="0.2">
      <c r="E88" s="675"/>
      <c r="F88" s="675"/>
      <c r="G88" s="677"/>
      <c r="H88" s="677"/>
      <c r="I88" s="677"/>
      <c r="J88" s="677"/>
      <c r="K88" s="677"/>
      <c r="L88" s="677"/>
      <c r="M88" s="677"/>
      <c r="N88" s="677"/>
      <c r="O88" s="677"/>
      <c r="P88" s="677"/>
      <c r="Q88" s="677"/>
      <c r="R88" s="677"/>
      <c r="S88" s="680"/>
    </row>
    <row r="89" spans="4:19" s="676" customFormat="1" ht="12.75" x14ac:dyDescent="0.2">
      <c r="E89" s="675"/>
      <c r="F89" s="675"/>
      <c r="G89" s="675"/>
      <c r="H89" s="675"/>
      <c r="I89" s="675"/>
      <c r="J89" s="675"/>
      <c r="K89" s="675"/>
      <c r="L89" s="675"/>
      <c r="M89" s="675"/>
      <c r="N89" s="675"/>
      <c r="O89" s="675"/>
      <c r="P89" s="675"/>
      <c r="Q89" s="675"/>
      <c r="R89" s="675"/>
      <c r="S89" s="680"/>
    </row>
    <row r="90" spans="4:19" s="676" customFormat="1" ht="12.75" x14ac:dyDescent="0.2">
      <c r="E90" s="675"/>
      <c r="F90" s="655"/>
      <c r="G90" s="678"/>
      <c r="H90" s="678"/>
      <c r="I90" s="678"/>
      <c r="J90" s="678"/>
      <c r="K90" s="678"/>
      <c r="L90" s="678"/>
      <c r="M90" s="678"/>
      <c r="N90" s="678"/>
      <c r="O90" s="678"/>
      <c r="P90" s="675"/>
      <c r="Q90" s="675"/>
      <c r="R90" s="675"/>
      <c r="S90" s="680"/>
    </row>
    <row r="91" spans="4:19" ht="15.75" customHeight="1" x14ac:dyDescent="0.2">
      <c r="G91" s="677"/>
      <c r="H91" s="677"/>
      <c r="I91" s="677"/>
      <c r="J91" s="677"/>
      <c r="K91" s="677"/>
      <c r="L91" s="677"/>
      <c r="M91" s="677"/>
      <c r="N91" s="677"/>
      <c r="O91" s="677"/>
      <c r="S91" s="680"/>
    </row>
    <row r="92" spans="4:19" ht="12.75" x14ac:dyDescent="0.2">
      <c r="S92" s="680"/>
    </row>
    <row r="93" spans="4:19" ht="12.75" x14ac:dyDescent="0.2">
      <c r="G93" s="670"/>
      <c r="H93" s="670"/>
      <c r="I93" s="670"/>
      <c r="J93" s="670"/>
      <c r="K93" s="670"/>
      <c r="L93" s="670"/>
      <c r="M93" s="670"/>
      <c r="N93" s="670"/>
      <c r="O93" s="670"/>
      <c r="S93" s="680"/>
    </row>
    <row r="94" spans="4:19" ht="12.75" x14ac:dyDescent="0.2">
      <c r="D94" s="631"/>
      <c r="G94" s="670"/>
      <c r="H94" s="670"/>
      <c r="I94" s="670"/>
      <c r="J94" s="670"/>
      <c r="K94" s="670"/>
      <c r="L94" s="670"/>
      <c r="M94" s="670"/>
      <c r="N94" s="670"/>
      <c r="O94" s="670"/>
      <c r="P94" s="670"/>
      <c r="Q94" s="670"/>
      <c r="R94" s="670"/>
      <c r="S94" s="680"/>
    </row>
    <row r="95" spans="4:19" ht="12.75" x14ac:dyDescent="0.2">
      <c r="D95" s="631"/>
      <c r="G95" s="670"/>
      <c r="H95" s="670"/>
      <c r="I95" s="670"/>
      <c r="J95" s="670"/>
      <c r="K95" s="670"/>
      <c r="L95" s="670"/>
      <c r="M95" s="670"/>
      <c r="N95" s="670"/>
      <c r="O95" s="670"/>
      <c r="P95" s="670"/>
      <c r="Q95" s="670"/>
      <c r="R95" s="670"/>
      <c r="S95" s="670"/>
    </row>
    <row r="96" spans="4:19" ht="12.75" x14ac:dyDescent="0.2">
      <c r="G96" s="670"/>
      <c r="H96" s="670"/>
      <c r="I96" s="670"/>
      <c r="J96" s="670"/>
      <c r="K96" s="670"/>
      <c r="L96" s="670"/>
      <c r="M96" s="670"/>
      <c r="N96" s="670"/>
      <c r="O96" s="670"/>
      <c r="P96" s="670"/>
      <c r="Q96" s="670"/>
      <c r="R96" s="670"/>
      <c r="S96" s="670"/>
    </row>
    <row r="97" spans="7:19" ht="12.75" x14ac:dyDescent="0.2">
      <c r="G97" s="670"/>
      <c r="H97" s="670"/>
      <c r="I97" s="670"/>
      <c r="J97" s="670"/>
      <c r="K97" s="670"/>
      <c r="L97" s="670"/>
      <c r="M97" s="670"/>
      <c r="N97" s="670"/>
      <c r="O97" s="670"/>
      <c r="P97" s="670"/>
      <c r="Q97" s="670"/>
      <c r="R97" s="670"/>
      <c r="S97" s="670"/>
    </row>
    <row r="98" spans="7:19" ht="12.75" x14ac:dyDescent="0.2">
      <c r="G98" s="670"/>
      <c r="H98" s="670"/>
      <c r="I98" s="670"/>
      <c r="J98" s="670"/>
      <c r="K98" s="670"/>
      <c r="L98" s="670"/>
      <c r="M98" s="670"/>
      <c r="N98" s="670"/>
      <c r="O98" s="670"/>
      <c r="P98" s="670"/>
      <c r="Q98" s="670"/>
      <c r="R98" s="670"/>
      <c r="S98" s="670"/>
    </row>
    <row r="99" spans="7:19" ht="12.75" x14ac:dyDescent="0.2">
      <c r="G99" s="670"/>
      <c r="H99" s="670"/>
      <c r="I99" s="670"/>
      <c r="J99" s="670"/>
      <c r="K99" s="670"/>
      <c r="L99" s="670"/>
      <c r="M99" s="670"/>
      <c r="N99" s="670"/>
      <c r="O99" s="670"/>
      <c r="P99" s="670"/>
      <c r="Q99" s="670"/>
      <c r="R99" s="670"/>
      <c r="S99" s="670"/>
    </row>
    <row r="100" spans="7:19" ht="12.75" x14ac:dyDescent="0.2">
      <c r="G100" s="670"/>
      <c r="H100" s="670"/>
      <c r="I100" s="670"/>
      <c r="J100" s="670"/>
      <c r="K100" s="670"/>
      <c r="L100" s="670"/>
      <c r="M100" s="670"/>
      <c r="N100" s="670"/>
      <c r="O100" s="670"/>
      <c r="P100" s="670"/>
      <c r="Q100" s="670"/>
      <c r="R100" s="670"/>
      <c r="S100" s="670"/>
    </row>
    <row r="101" spans="7:19" ht="12.75" x14ac:dyDescent="0.2">
      <c r="G101" s="670"/>
      <c r="H101" s="670"/>
      <c r="I101" s="670"/>
      <c r="J101" s="670"/>
      <c r="K101" s="670"/>
      <c r="L101" s="670"/>
      <c r="M101" s="670"/>
      <c r="N101" s="670"/>
      <c r="O101" s="670"/>
      <c r="P101" s="670"/>
      <c r="Q101" s="670"/>
      <c r="R101" s="670"/>
      <c r="S101" s="670"/>
    </row>
    <row r="102" spans="7:19" x14ac:dyDescent="0.25">
      <c r="G102" s="670"/>
      <c r="H102" s="670"/>
      <c r="I102" s="670"/>
      <c r="J102" s="670"/>
      <c r="K102" s="670"/>
      <c r="L102" s="670"/>
      <c r="M102" s="670"/>
      <c r="N102" s="670"/>
      <c r="O102" s="670"/>
      <c r="P102" s="670"/>
      <c r="Q102" s="670"/>
      <c r="R102" s="670"/>
      <c r="S102" s="670"/>
    </row>
    <row r="103" spans="7:19" x14ac:dyDescent="0.25">
      <c r="G103" s="670"/>
      <c r="H103" s="670"/>
      <c r="I103" s="670"/>
      <c r="J103" s="670"/>
      <c r="K103" s="670"/>
      <c r="L103" s="670"/>
      <c r="M103" s="670"/>
      <c r="N103" s="670"/>
      <c r="O103" s="670"/>
      <c r="P103" s="670"/>
      <c r="Q103" s="670"/>
      <c r="R103" s="670"/>
      <c r="S103" s="670"/>
    </row>
    <row r="104" spans="7:19" x14ac:dyDescent="0.25">
      <c r="G104" s="670"/>
      <c r="H104" s="670"/>
      <c r="I104" s="670"/>
      <c r="J104" s="670"/>
      <c r="K104" s="670"/>
      <c r="L104" s="670"/>
      <c r="M104" s="670"/>
      <c r="N104" s="670"/>
      <c r="O104" s="670"/>
      <c r="P104" s="670"/>
      <c r="Q104" s="670"/>
      <c r="R104" s="670"/>
      <c r="S104" s="670"/>
    </row>
    <row r="105" spans="7:19" x14ac:dyDescent="0.25">
      <c r="G105" s="670"/>
      <c r="H105" s="670"/>
      <c r="I105" s="670"/>
      <c r="J105" s="670"/>
      <c r="K105" s="670"/>
      <c r="L105" s="670"/>
      <c r="M105" s="670"/>
      <c r="N105" s="670"/>
      <c r="O105" s="670"/>
      <c r="P105" s="670"/>
      <c r="Q105" s="670"/>
      <c r="R105" s="670"/>
      <c r="S105" s="670"/>
    </row>
    <row r="106" spans="7:19" x14ac:dyDescent="0.25">
      <c r="G106" s="670"/>
      <c r="H106" s="670"/>
      <c r="I106" s="670"/>
      <c r="J106" s="670"/>
      <c r="K106" s="670"/>
      <c r="L106" s="670"/>
      <c r="M106" s="670"/>
      <c r="N106" s="670"/>
      <c r="O106" s="670"/>
      <c r="P106" s="670"/>
      <c r="Q106" s="670"/>
      <c r="R106" s="670"/>
      <c r="S106" s="670"/>
    </row>
    <row r="107" spans="7:19" x14ac:dyDescent="0.25">
      <c r="G107" s="670"/>
      <c r="H107" s="670"/>
      <c r="I107" s="670"/>
      <c r="J107" s="670"/>
      <c r="K107" s="670"/>
      <c r="L107" s="670"/>
      <c r="M107" s="670"/>
      <c r="N107" s="670"/>
      <c r="O107" s="670"/>
      <c r="P107" s="670"/>
      <c r="Q107" s="670"/>
      <c r="R107" s="670"/>
      <c r="S107" s="670"/>
    </row>
    <row r="108" spans="7:19" x14ac:dyDescent="0.25">
      <c r="G108" s="670"/>
      <c r="H108" s="670"/>
      <c r="I108" s="670"/>
      <c r="J108" s="670"/>
      <c r="K108" s="670"/>
      <c r="L108" s="670"/>
      <c r="M108" s="670"/>
      <c r="N108" s="670"/>
      <c r="O108" s="670"/>
      <c r="P108" s="670"/>
      <c r="Q108" s="670"/>
      <c r="R108" s="670"/>
      <c r="S108" s="670"/>
    </row>
    <row r="109" spans="7:19" x14ac:dyDescent="0.25">
      <c r="G109" s="670"/>
      <c r="H109" s="670"/>
      <c r="I109" s="670"/>
      <c r="J109" s="670"/>
      <c r="K109" s="670"/>
      <c r="L109" s="670"/>
      <c r="M109" s="670"/>
      <c r="N109" s="670"/>
      <c r="O109" s="670"/>
      <c r="P109" s="670"/>
      <c r="Q109" s="670"/>
      <c r="R109" s="670"/>
      <c r="S109" s="670"/>
    </row>
    <row r="110" spans="7:19" x14ac:dyDescent="0.25">
      <c r="G110" s="670"/>
      <c r="H110" s="670"/>
      <c r="I110" s="670"/>
      <c r="J110" s="670"/>
      <c r="K110" s="670"/>
      <c r="L110" s="670"/>
      <c r="M110" s="670"/>
      <c r="N110" s="670"/>
      <c r="O110" s="670"/>
      <c r="P110" s="670"/>
      <c r="Q110" s="670"/>
      <c r="R110" s="670"/>
      <c r="S110" s="670"/>
    </row>
    <row r="111" spans="7:19" x14ac:dyDescent="0.25">
      <c r="G111" s="670"/>
      <c r="H111" s="670"/>
      <c r="I111" s="670"/>
      <c r="J111" s="670"/>
      <c r="K111" s="670"/>
      <c r="L111" s="670"/>
      <c r="M111" s="670"/>
      <c r="N111" s="670"/>
      <c r="O111" s="670"/>
      <c r="P111" s="670"/>
      <c r="Q111" s="670"/>
      <c r="R111" s="670"/>
      <c r="S111" s="670"/>
    </row>
    <row r="112" spans="7:19" x14ac:dyDescent="0.25">
      <c r="G112" s="670"/>
      <c r="H112" s="670"/>
      <c r="I112" s="670"/>
      <c r="J112" s="670"/>
      <c r="K112" s="670"/>
      <c r="L112" s="670"/>
      <c r="M112" s="670"/>
      <c r="N112" s="670"/>
      <c r="O112" s="670"/>
      <c r="P112" s="670"/>
      <c r="Q112" s="670"/>
      <c r="R112" s="670"/>
      <c r="S112" s="670"/>
    </row>
    <row r="113" spans="7:19" x14ac:dyDescent="0.25">
      <c r="G113" s="670"/>
      <c r="H113" s="670"/>
      <c r="I113" s="670"/>
      <c r="J113" s="670"/>
      <c r="K113" s="670"/>
      <c r="L113" s="670"/>
      <c r="M113" s="670"/>
      <c r="N113" s="670"/>
      <c r="O113" s="670"/>
      <c r="P113" s="670"/>
      <c r="Q113" s="670"/>
      <c r="R113" s="670"/>
      <c r="S113" s="670"/>
    </row>
    <row r="114" spans="7:19" x14ac:dyDescent="0.25">
      <c r="G114" s="670"/>
      <c r="H114" s="670"/>
      <c r="I114" s="670"/>
      <c r="J114" s="670"/>
      <c r="K114" s="670"/>
      <c r="L114" s="670"/>
      <c r="M114" s="670"/>
      <c r="N114" s="670"/>
      <c r="O114" s="670"/>
      <c r="P114" s="670"/>
      <c r="Q114" s="670"/>
      <c r="R114" s="670"/>
      <c r="S114" s="670"/>
    </row>
    <row r="115" spans="7:19" x14ac:dyDescent="0.25">
      <c r="G115" s="670"/>
      <c r="H115" s="670"/>
      <c r="I115" s="670"/>
      <c r="J115" s="670"/>
      <c r="K115" s="670"/>
      <c r="L115" s="670"/>
      <c r="M115" s="670"/>
      <c r="N115" s="670"/>
      <c r="O115" s="670"/>
      <c r="P115" s="670"/>
      <c r="Q115" s="670"/>
      <c r="R115" s="670"/>
      <c r="S115" s="670"/>
    </row>
    <row r="116" spans="7:19" x14ac:dyDescent="0.25">
      <c r="G116" s="670"/>
      <c r="H116" s="670"/>
      <c r="I116" s="670"/>
      <c r="J116" s="670"/>
      <c r="K116" s="670"/>
      <c r="L116" s="670"/>
      <c r="M116" s="670"/>
      <c r="N116" s="670"/>
      <c r="O116" s="670"/>
      <c r="P116" s="670"/>
      <c r="Q116" s="670"/>
      <c r="R116" s="670"/>
      <c r="S116" s="670"/>
    </row>
    <row r="117" spans="7:19" x14ac:dyDescent="0.25">
      <c r="G117" s="670"/>
      <c r="H117" s="670"/>
      <c r="I117" s="670"/>
      <c r="J117" s="670"/>
      <c r="K117" s="670"/>
      <c r="L117" s="670"/>
      <c r="M117" s="670"/>
      <c r="N117" s="670"/>
      <c r="O117" s="670"/>
      <c r="P117" s="670"/>
      <c r="Q117" s="670"/>
      <c r="R117" s="670"/>
      <c r="S117" s="670"/>
    </row>
    <row r="118" spans="7:19" x14ac:dyDescent="0.25">
      <c r="G118" s="670"/>
      <c r="H118" s="670"/>
      <c r="I118" s="670"/>
      <c r="J118" s="670"/>
      <c r="K118" s="670"/>
      <c r="L118" s="670"/>
      <c r="M118" s="670"/>
      <c r="N118" s="670"/>
      <c r="O118" s="670"/>
      <c r="P118" s="670"/>
      <c r="Q118" s="670"/>
      <c r="R118" s="670"/>
      <c r="S118" s="670"/>
    </row>
    <row r="119" spans="7:19" x14ac:dyDescent="0.25">
      <c r="G119" s="670"/>
      <c r="H119" s="670"/>
      <c r="I119" s="670"/>
      <c r="J119" s="670"/>
      <c r="K119" s="670"/>
      <c r="L119" s="670"/>
      <c r="M119" s="670"/>
      <c r="N119" s="670"/>
      <c r="O119" s="670"/>
      <c r="P119" s="670"/>
      <c r="Q119" s="670"/>
      <c r="R119" s="670"/>
      <c r="S119" s="670"/>
    </row>
    <row r="120" spans="7:19" x14ac:dyDescent="0.25">
      <c r="G120" s="670"/>
      <c r="H120" s="670"/>
      <c r="I120" s="670"/>
      <c r="J120" s="670"/>
      <c r="K120" s="670"/>
      <c r="L120" s="670"/>
      <c r="M120" s="670"/>
      <c r="N120" s="670"/>
      <c r="O120" s="670"/>
      <c r="P120" s="670"/>
      <c r="Q120" s="670"/>
      <c r="R120" s="670"/>
      <c r="S120" s="670"/>
    </row>
    <row r="121" spans="7:19" x14ac:dyDescent="0.25">
      <c r="G121" s="670"/>
      <c r="H121" s="670"/>
      <c r="I121" s="670"/>
      <c r="J121" s="670"/>
      <c r="K121" s="670"/>
      <c r="L121" s="670"/>
      <c r="M121" s="670"/>
      <c r="N121" s="670"/>
      <c r="O121" s="670"/>
      <c r="P121" s="670"/>
      <c r="Q121" s="670"/>
      <c r="R121" s="670"/>
      <c r="S121" s="670"/>
    </row>
    <row r="122" spans="7:19" x14ac:dyDescent="0.25">
      <c r="G122" s="670"/>
      <c r="H122" s="670"/>
      <c r="I122" s="670"/>
      <c r="J122" s="670"/>
      <c r="K122" s="670"/>
      <c r="L122" s="670"/>
      <c r="M122" s="670"/>
      <c r="N122" s="670"/>
      <c r="O122" s="670"/>
      <c r="P122" s="670"/>
      <c r="Q122" s="670"/>
      <c r="R122" s="670"/>
      <c r="S122" s="670"/>
    </row>
    <row r="123" spans="7:19" x14ac:dyDescent="0.25">
      <c r="G123" s="670"/>
      <c r="H123" s="670"/>
      <c r="I123" s="670"/>
      <c r="J123" s="670"/>
      <c r="K123" s="670"/>
      <c r="L123" s="670"/>
      <c r="M123" s="670"/>
      <c r="N123" s="670"/>
      <c r="O123" s="670"/>
      <c r="P123" s="670"/>
      <c r="Q123" s="670"/>
      <c r="R123" s="670"/>
      <c r="S123" s="670"/>
    </row>
    <row r="124" spans="7:19" x14ac:dyDescent="0.25">
      <c r="G124" s="670"/>
      <c r="H124" s="670"/>
      <c r="I124" s="670"/>
      <c r="J124" s="670"/>
      <c r="K124" s="670"/>
      <c r="L124" s="670"/>
      <c r="M124" s="670"/>
      <c r="N124" s="670"/>
      <c r="O124" s="670"/>
      <c r="P124" s="670"/>
      <c r="Q124" s="670"/>
      <c r="R124" s="670"/>
      <c r="S124" s="670"/>
    </row>
    <row r="125" spans="7:19" x14ac:dyDescent="0.25">
      <c r="G125" s="670"/>
      <c r="H125" s="670"/>
      <c r="I125" s="670"/>
      <c r="J125" s="670"/>
      <c r="K125" s="670"/>
      <c r="L125" s="670"/>
      <c r="M125" s="670"/>
      <c r="N125" s="670"/>
      <c r="O125" s="670"/>
      <c r="P125" s="670"/>
      <c r="Q125" s="670"/>
      <c r="R125" s="670"/>
      <c r="S125" s="670"/>
    </row>
    <row r="126" spans="7:19" x14ac:dyDescent="0.25">
      <c r="G126" s="670"/>
      <c r="H126" s="670"/>
      <c r="I126" s="670"/>
      <c r="J126" s="670"/>
      <c r="K126" s="670"/>
      <c r="L126" s="670"/>
      <c r="M126" s="670"/>
      <c r="N126" s="670"/>
      <c r="O126" s="670"/>
      <c r="P126" s="670"/>
      <c r="Q126" s="670"/>
      <c r="R126" s="670"/>
      <c r="S126" s="670"/>
    </row>
    <row r="127" spans="7:19" x14ac:dyDescent="0.25">
      <c r="G127" s="670"/>
      <c r="H127" s="670"/>
      <c r="I127" s="670"/>
      <c r="J127" s="670"/>
      <c r="K127" s="670"/>
      <c r="L127" s="670"/>
      <c r="M127" s="670"/>
      <c r="N127" s="670"/>
      <c r="O127" s="670"/>
      <c r="P127" s="670"/>
      <c r="Q127" s="670"/>
      <c r="R127" s="670"/>
      <c r="S127" s="670"/>
    </row>
    <row r="128" spans="7:19" x14ac:dyDescent="0.25">
      <c r="G128" s="670"/>
      <c r="H128" s="670"/>
      <c r="I128" s="670"/>
      <c r="J128" s="670"/>
      <c r="K128" s="670"/>
      <c r="L128" s="670"/>
      <c r="M128" s="670"/>
      <c r="N128" s="670"/>
      <c r="O128" s="670"/>
      <c r="P128" s="670"/>
      <c r="Q128" s="670"/>
      <c r="R128" s="670"/>
      <c r="S128" s="670"/>
    </row>
    <row r="129" spans="7:19" x14ac:dyDescent="0.25">
      <c r="G129" s="670"/>
      <c r="H129" s="670"/>
      <c r="I129" s="670"/>
      <c r="J129" s="670"/>
      <c r="K129" s="670"/>
      <c r="L129" s="670"/>
      <c r="M129" s="670"/>
      <c r="N129" s="670"/>
      <c r="O129" s="670"/>
      <c r="P129" s="670"/>
      <c r="Q129" s="670"/>
      <c r="R129" s="670"/>
      <c r="S129" s="670"/>
    </row>
    <row r="130" spans="7:19" x14ac:dyDescent="0.25">
      <c r="G130" s="670"/>
      <c r="H130" s="670"/>
      <c r="I130" s="670"/>
      <c r="J130" s="670"/>
      <c r="K130" s="670"/>
      <c r="L130" s="670"/>
      <c r="M130" s="670"/>
      <c r="N130" s="670"/>
      <c r="O130" s="670"/>
      <c r="P130" s="670"/>
      <c r="Q130" s="670"/>
      <c r="R130" s="670"/>
      <c r="S130" s="670"/>
    </row>
    <row r="131" spans="7:19" x14ac:dyDescent="0.25">
      <c r="G131" s="670"/>
      <c r="H131" s="670"/>
      <c r="I131" s="670"/>
      <c r="J131" s="670"/>
      <c r="K131" s="670"/>
      <c r="L131" s="670"/>
      <c r="M131" s="670"/>
      <c r="N131" s="670"/>
      <c r="O131" s="670"/>
      <c r="P131" s="670"/>
      <c r="Q131" s="670"/>
      <c r="R131" s="670"/>
      <c r="S131" s="670"/>
    </row>
    <row r="132" spans="7:19" x14ac:dyDescent="0.25">
      <c r="G132" s="670"/>
      <c r="H132" s="670"/>
      <c r="I132" s="670"/>
      <c r="J132" s="670"/>
      <c r="K132" s="670"/>
      <c r="L132" s="670"/>
      <c r="M132" s="670"/>
      <c r="N132" s="670"/>
      <c r="O132" s="670"/>
      <c r="P132" s="670"/>
      <c r="Q132" s="670"/>
      <c r="R132" s="670"/>
      <c r="S132" s="670"/>
    </row>
    <row r="133" spans="7:19" x14ac:dyDescent="0.25">
      <c r="G133" s="670"/>
      <c r="H133" s="670"/>
      <c r="I133" s="670"/>
      <c r="J133" s="670"/>
      <c r="K133" s="670"/>
      <c r="L133" s="670"/>
      <c r="M133" s="670"/>
      <c r="N133" s="670"/>
      <c r="O133" s="670"/>
      <c r="P133" s="670"/>
      <c r="Q133" s="670"/>
      <c r="R133" s="670"/>
      <c r="S133" s="670"/>
    </row>
    <row r="134" spans="7:19" x14ac:dyDescent="0.25">
      <c r="G134" s="670"/>
      <c r="H134" s="670"/>
      <c r="I134" s="670"/>
      <c r="J134" s="670"/>
      <c r="K134" s="670"/>
      <c r="L134" s="670"/>
      <c r="M134" s="670"/>
      <c r="N134" s="670"/>
      <c r="O134" s="670"/>
      <c r="P134" s="670"/>
      <c r="Q134" s="670"/>
      <c r="R134" s="670"/>
      <c r="S134" s="670"/>
    </row>
    <row r="135" spans="7:19" x14ac:dyDescent="0.25">
      <c r="G135" s="670"/>
      <c r="H135" s="670"/>
      <c r="I135" s="670"/>
      <c r="J135" s="670"/>
      <c r="K135" s="670"/>
      <c r="L135" s="670"/>
      <c r="M135" s="670"/>
      <c r="N135" s="670"/>
      <c r="O135" s="670"/>
      <c r="P135" s="670"/>
      <c r="Q135" s="670"/>
      <c r="R135" s="670"/>
      <c r="S135" s="670"/>
    </row>
    <row r="136" spans="7:19" x14ac:dyDescent="0.25">
      <c r="G136" s="670"/>
      <c r="H136" s="670"/>
      <c r="I136" s="670"/>
      <c r="J136" s="670"/>
      <c r="K136" s="670"/>
      <c r="L136" s="670"/>
      <c r="M136" s="670"/>
      <c r="N136" s="670"/>
      <c r="O136" s="670"/>
      <c r="P136" s="670"/>
      <c r="Q136" s="670"/>
      <c r="R136" s="670"/>
      <c r="S136" s="670"/>
    </row>
    <row r="137" spans="7:19" x14ac:dyDescent="0.25">
      <c r="G137" s="670"/>
      <c r="H137" s="670"/>
      <c r="I137" s="670"/>
      <c r="J137" s="670"/>
      <c r="K137" s="670"/>
      <c r="L137" s="670"/>
      <c r="M137" s="670"/>
      <c r="N137" s="670"/>
      <c r="O137" s="670"/>
      <c r="P137" s="670"/>
      <c r="Q137" s="670"/>
      <c r="R137" s="670"/>
      <c r="S137" s="670"/>
    </row>
    <row r="138" spans="7:19" x14ac:dyDescent="0.25">
      <c r="G138" s="670"/>
      <c r="H138" s="670"/>
      <c r="I138" s="670"/>
      <c r="J138" s="670"/>
      <c r="K138" s="670"/>
      <c r="L138" s="670"/>
      <c r="M138" s="670"/>
      <c r="N138" s="670"/>
      <c r="O138" s="670"/>
      <c r="P138" s="670"/>
      <c r="Q138" s="670"/>
      <c r="R138" s="670"/>
      <c r="S138" s="670"/>
    </row>
    <row r="139" spans="7:19" x14ac:dyDescent="0.25">
      <c r="G139" s="670"/>
      <c r="H139" s="670"/>
      <c r="I139" s="670"/>
      <c r="J139" s="670"/>
      <c r="K139" s="670"/>
      <c r="L139" s="670"/>
      <c r="M139" s="670"/>
      <c r="N139" s="670"/>
      <c r="O139" s="670"/>
      <c r="P139" s="670"/>
      <c r="Q139" s="670"/>
      <c r="R139" s="670"/>
      <c r="S139" s="670"/>
    </row>
    <row r="140" spans="7:19" x14ac:dyDescent="0.25">
      <c r="G140" s="670"/>
      <c r="H140" s="670"/>
      <c r="I140" s="670"/>
      <c r="J140" s="670"/>
      <c r="K140" s="670"/>
      <c r="L140" s="670"/>
      <c r="M140" s="670"/>
      <c r="N140" s="670"/>
      <c r="O140" s="670"/>
      <c r="P140" s="670"/>
      <c r="Q140" s="670"/>
      <c r="R140" s="670"/>
      <c r="S140" s="670"/>
    </row>
    <row r="141" spans="7:19" x14ac:dyDescent="0.25">
      <c r="S141" s="670"/>
    </row>
    <row r="142" spans="7:19" x14ac:dyDescent="0.25">
      <c r="S142" s="670"/>
    </row>
    <row r="143" spans="7:19" x14ac:dyDescent="0.25">
      <c r="S143" s="670"/>
    </row>
    <row r="144" spans="7:19" x14ac:dyDescent="0.25">
      <c r="S144" s="670"/>
    </row>
    <row r="145" spans="19:19" x14ac:dyDescent="0.25">
      <c r="S145" s="670"/>
    </row>
    <row r="146" spans="19:19" x14ac:dyDescent="0.25">
      <c r="S146" s="670"/>
    </row>
    <row r="147" spans="19:19" x14ac:dyDescent="0.25">
      <c r="S147" s="670"/>
    </row>
    <row r="148" spans="19:19" x14ac:dyDescent="0.25">
      <c r="S148" s="670"/>
    </row>
    <row r="149" spans="19:19" x14ac:dyDescent="0.25">
      <c r="S149" s="670"/>
    </row>
    <row r="150" spans="19:19" x14ac:dyDescent="0.25">
      <c r="S150" s="670"/>
    </row>
    <row r="151" spans="19:19" x14ac:dyDescent="0.25">
      <c r="S151" s="670"/>
    </row>
    <row r="152" spans="19:19" x14ac:dyDescent="0.25">
      <c r="S152" s="670"/>
    </row>
    <row r="153" spans="19:19" x14ac:dyDescent="0.25">
      <c r="S153" s="670"/>
    </row>
    <row r="154" spans="19:19" x14ac:dyDescent="0.25">
      <c r="S154" s="670"/>
    </row>
    <row r="155" spans="19:19" x14ac:dyDescent="0.25">
      <c r="S155" s="670"/>
    </row>
    <row r="156" spans="19:19" x14ac:dyDescent="0.25">
      <c r="S156" s="670"/>
    </row>
    <row r="157" spans="19:19" x14ac:dyDescent="0.25">
      <c r="S157" s="670"/>
    </row>
    <row r="158" spans="19:19" x14ac:dyDescent="0.25">
      <c r="S158" s="670"/>
    </row>
    <row r="159" spans="19:19" x14ac:dyDescent="0.25">
      <c r="S159" s="670"/>
    </row>
    <row r="160" spans="19:19" x14ac:dyDescent="0.25">
      <c r="S160" s="670"/>
    </row>
    <row r="161" spans="19:19" x14ac:dyDescent="0.25">
      <c r="S161" s="670"/>
    </row>
    <row r="162" spans="19:19" x14ac:dyDescent="0.25">
      <c r="S162" s="670"/>
    </row>
    <row r="163" spans="19:19" x14ac:dyDescent="0.25">
      <c r="S163" s="670"/>
    </row>
    <row r="164" spans="19:19" x14ac:dyDescent="0.25">
      <c r="S164" s="670"/>
    </row>
    <row r="165" spans="19:19" x14ac:dyDescent="0.25">
      <c r="S165" s="670"/>
    </row>
    <row r="166" spans="19:19" x14ac:dyDescent="0.25">
      <c r="S166" s="670"/>
    </row>
    <row r="167" spans="19:19" x14ac:dyDescent="0.25">
      <c r="S167" s="670"/>
    </row>
    <row r="168" spans="19:19" x14ac:dyDescent="0.25">
      <c r="S168" s="670"/>
    </row>
    <row r="169" spans="19:19" x14ac:dyDescent="0.25">
      <c r="S169" s="670"/>
    </row>
    <row r="170" spans="19:19" x14ac:dyDescent="0.25">
      <c r="S170" s="670"/>
    </row>
    <row r="171" spans="19:19" x14ac:dyDescent="0.25">
      <c r="S171" s="670"/>
    </row>
    <row r="172" spans="19:19" x14ac:dyDescent="0.25">
      <c r="S172" s="670"/>
    </row>
    <row r="173" spans="19:19" x14ac:dyDescent="0.25">
      <c r="S173" s="670"/>
    </row>
    <row r="174" spans="19:19" x14ac:dyDescent="0.25">
      <c r="S174" s="670"/>
    </row>
    <row r="175" spans="19:19" x14ac:dyDescent="0.25">
      <c r="S175" s="670"/>
    </row>
    <row r="176" spans="19:19" x14ac:dyDescent="0.25">
      <c r="S176" s="670"/>
    </row>
    <row r="177" spans="19:19" x14ac:dyDescent="0.25">
      <c r="S177" s="670"/>
    </row>
    <row r="178" spans="19:19" x14ac:dyDescent="0.25">
      <c r="S178" s="670"/>
    </row>
    <row r="179" spans="19:19" x14ac:dyDescent="0.25">
      <c r="S179" s="670"/>
    </row>
    <row r="180" spans="19:19" x14ac:dyDescent="0.25">
      <c r="S180" s="670"/>
    </row>
    <row r="181" spans="19:19" x14ac:dyDescent="0.25">
      <c r="S181" s="670"/>
    </row>
    <row r="182" spans="19:19" x14ac:dyDescent="0.25">
      <c r="S182" s="670"/>
    </row>
    <row r="183" spans="19:19" x14ac:dyDescent="0.25">
      <c r="S183" s="670"/>
    </row>
    <row r="184" spans="19:19" x14ac:dyDescent="0.25">
      <c r="S184" s="670"/>
    </row>
    <row r="185" spans="19:19" x14ac:dyDescent="0.25">
      <c r="S185" s="670"/>
    </row>
    <row r="186" spans="19:19" x14ac:dyDescent="0.25">
      <c r="S186" s="670"/>
    </row>
    <row r="187" spans="19:19" x14ac:dyDescent="0.25">
      <c r="S187" s="670"/>
    </row>
    <row r="188" spans="19:19" x14ac:dyDescent="0.25">
      <c r="S188" s="670"/>
    </row>
    <row r="189" spans="19:19" x14ac:dyDescent="0.25">
      <c r="S189" s="670"/>
    </row>
    <row r="190" spans="19:19" x14ac:dyDescent="0.25">
      <c r="S190" s="670"/>
    </row>
    <row r="191" spans="19:19" x14ac:dyDescent="0.25">
      <c r="S191" s="670"/>
    </row>
    <row r="192" spans="19:19" x14ac:dyDescent="0.25">
      <c r="S192" s="670"/>
    </row>
    <row r="193" spans="19:19" x14ac:dyDescent="0.25">
      <c r="S193" s="670"/>
    </row>
    <row r="194" spans="19:19" x14ac:dyDescent="0.25">
      <c r="S194" s="670"/>
    </row>
    <row r="195" spans="19:19" x14ac:dyDescent="0.25">
      <c r="S195" s="670"/>
    </row>
    <row r="196" spans="19:19" x14ac:dyDescent="0.25">
      <c r="S196" s="670"/>
    </row>
    <row r="197" spans="19:19" x14ac:dyDescent="0.25">
      <c r="S197" s="670"/>
    </row>
    <row r="198" spans="19:19" x14ac:dyDescent="0.25">
      <c r="S198" s="670"/>
    </row>
    <row r="199" spans="19:19" x14ac:dyDescent="0.25">
      <c r="S199" s="670"/>
    </row>
    <row r="200" spans="19:19" x14ac:dyDescent="0.25">
      <c r="S200" s="670"/>
    </row>
    <row r="201" spans="19:19" x14ac:dyDescent="0.25">
      <c r="S201" s="670"/>
    </row>
    <row r="202" spans="19:19" x14ac:dyDescent="0.25">
      <c r="S202" s="670"/>
    </row>
    <row r="203" spans="19:19" x14ac:dyDescent="0.25">
      <c r="S203" s="670"/>
    </row>
    <row r="204" spans="19:19" x14ac:dyDescent="0.25">
      <c r="S204" s="670"/>
    </row>
    <row r="205" spans="19:19" x14ac:dyDescent="0.25">
      <c r="S205" s="670"/>
    </row>
    <row r="206" spans="19:19" x14ac:dyDescent="0.25">
      <c r="S206" s="670"/>
    </row>
    <row r="207" spans="19:19" x14ac:dyDescent="0.25">
      <c r="S207" s="670"/>
    </row>
    <row r="208" spans="19:19" x14ac:dyDescent="0.25">
      <c r="S208" s="670"/>
    </row>
    <row r="209" spans="19:19" x14ac:dyDescent="0.25">
      <c r="S209" s="670"/>
    </row>
    <row r="210" spans="19:19" x14ac:dyDescent="0.25">
      <c r="S210" s="670"/>
    </row>
    <row r="211" spans="19:19" x14ac:dyDescent="0.25">
      <c r="S211" s="670"/>
    </row>
    <row r="212" spans="19:19" x14ac:dyDescent="0.25">
      <c r="S212" s="670"/>
    </row>
    <row r="213" spans="19:19" x14ac:dyDescent="0.25">
      <c r="S213" s="670"/>
    </row>
    <row r="214" spans="19:19" x14ac:dyDescent="0.25">
      <c r="S214" s="670"/>
    </row>
    <row r="215" spans="19:19" x14ac:dyDescent="0.25">
      <c r="S215" s="670"/>
    </row>
    <row r="216" spans="19:19" x14ac:dyDescent="0.25">
      <c r="S216" s="670"/>
    </row>
    <row r="217" spans="19:19" x14ac:dyDescent="0.25">
      <c r="S217" s="670"/>
    </row>
  </sheetData>
  <mergeCells count="1">
    <mergeCell ref="F2:S2"/>
  </mergeCells>
  <pageMargins left="0.7" right="0.7" top="0.75" bottom="0.75" header="0.3" footer="0.3"/>
  <pageSetup paperSize="9" scale="3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34"/>
  <sheetViews>
    <sheetView view="pageBreakPreview" topLeftCell="N1" zoomScaleNormal="100" zoomScaleSheetLayoutView="100" workbookViewId="0">
      <selection activeCell="U141" sqref="U141"/>
    </sheetView>
  </sheetViews>
  <sheetFormatPr defaultColWidth="9.109375" defaultRowHeight="13.8" x14ac:dyDescent="0.3"/>
  <cols>
    <col min="1" max="4" width="0.88671875" style="105" customWidth="1"/>
    <col min="5" max="5" width="50.6640625" style="105" customWidth="1"/>
    <col min="6" max="6" width="3.44140625" style="105" customWidth="1"/>
    <col min="7" max="7" width="3.5546875" style="105" customWidth="1"/>
    <col min="8" max="8" width="15.6640625" style="105" customWidth="1"/>
    <col min="9" max="10" width="15" style="105" customWidth="1"/>
    <col min="11" max="11" width="13.5546875" style="105" customWidth="1"/>
    <col min="12" max="15" width="13.6640625" style="105" customWidth="1"/>
    <col min="16" max="16" width="15.44140625" style="105" customWidth="1"/>
    <col min="17" max="17" width="15.109375" style="105" customWidth="1"/>
    <col min="18" max="18" width="16.44140625" style="105" customWidth="1"/>
    <col min="19" max="19" width="15.6640625" style="105" customWidth="1"/>
    <col min="20" max="20" width="15.33203125" style="105" customWidth="1"/>
    <col min="21" max="21" width="15.6640625" style="105" customWidth="1"/>
    <col min="22" max="24" width="14" style="105" hidden="1" customWidth="1"/>
    <col min="25" max="25" width="9.6640625" style="105" customWidth="1"/>
    <col min="26" max="26" width="12.6640625" style="105" customWidth="1"/>
    <col min="27" max="27" width="12.6640625" style="105" hidden="1" customWidth="1"/>
    <col min="28" max="28" width="12.5546875" style="105" hidden="1" customWidth="1"/>
    <col min="29" max="37" width="6.6640625" style="105" hidden="1" customWidth="1"/>
    <col min="38" max="38" width="9.5546875" style="105" hidden="1" customWidth="1"/>
    <col min="39" max="39" width="12.5546875" style="105" hidden="1" customWidth="1"/>
    <col min="40" max="44" width="0" style="105" hidden="1" customWidth="1"/>
    <col min="45" max="16384" width="9.109375" style="105"/>
  </cols>
  <sheetData>
    <row r="1" spans="1:33" ht="12.75" customHeight="1" x14ac:dyDescent="0.2"/>
    <row r="2" spans="1:33" ht="12.75" customHeight="1" x14ac:dyDescent="0.2">
      <c r="A2" s="106" t="s">
        <v>47</v>
      </c>
      <c r="B2" s="106"/>
      <c r="C2" s="106"/>
      <c r="D2" s="107"/>
      <c r="F2" s="106"/>
      <c r="G2" s="107"/>
      <c r="H2" s="108"/>
      <c r="I2" s="107"/>
      <c r="J2" s="108"/>
      <c r="K2" s="107"/>
      <c r="L2" s="108"/>
      <c r="M2" s="107"/>
      <c r="N2" s="108"/>
      <c r="O2" s="108"/>
      <c r="P2" s="108"/>
      <c r="Q2" s="108"/>
      <c r="R2" s="108"/>
      <c r="S2" s="108"/>
      <c r="T2" s="108"/>
      <c r="U2" s="108"/>
      <c r="V2" s="108"/>
      <c r="W2" s="108"/>
      <c r="X2" s="108"/>
    </row>
    <row r="3" spans="1:33" ht="12.75" customHeight="1" x14ac:dyDescent="0.2">
      <c r="A3" s="109"/>
      <c r="B3" s="110"/>
      <c r="C3" s="110"/>
      <c r="D3" s="110"/>
      <c r="E3" s="110"/>
      <c r="F3" s="110"/>
      <c r="G3" s="111"/>
      <c r="H3" s="690" t="s">
        <v>3</v>
      </c>
      <c r="I3" s="691"/>
      <c r="J3" s="691"/>
      <c r="K3" s="691"/>
      <c r="L3" s="691"/>
      <c r="M3" s="691"/>
      <c r="N3" s="691"/>
      <c r="O3" s="691"/>
      <c r="P3" s="691"/>
      <c r="Q3" s="691"/>
      <c r="R3" s="691"/>
      <c r="S3" s="691"/>
      <c r="T3" s="691"/>
      <c r="U3" s="691"/>
      <c r="V3" s="112"/>
      <c r="W3" s="112"/>
      <c r="X3" s="112"/>
      <c r="AG3" s="113"/>
    </row>
    <row r="4" spans="1:33" ht="12.75" customHeight="1" x14ac:dyDescent="0.2">
      <c r="A4" s="113"/>
      <c r="B4" s="108"/>
      <c r="C4" s="114"/>
      <c r="D4" s="108"/>
      <c r="E4" s="114"/>
      <c r="F4" s="114"/>
      <c r="G4" s="115"/>
      <c r="H4" s="116" t="s">
        <v>4</v>
      </c>
      <c r="I4" s="117" t="s">
        <v>5</v>
      </c>
      <c r="J4" s="117" t="s">
        <v>6</v>
      </c>
      <c r="K4" s="117" t="s">
        <v>7</v>
      </c>
      <c r="L4" s="117" t="s">
        <v>8</v>
      </c>
      <c r="M4" s="117" t="s">
        <v>9</v>
      </c>
      <c r="N4" s="117" t="s">
        <v>10</v>
      </c>
      <c r="O4" s="117" t="s">
        <v>11</v>
      </c>
      <c r="P4" s="117" t="s">
        <v>12</v>
      </c>
      <c r="Q4" s="117" t="s">
        <v>13</v>
      </c>
      <c r="R4" s="117" t="s">
        <v>14</v>
      </c>
      <c r="S4" s="117" t="s">
        <v>15</v>
      </c>
      <c r="T4" s="117" t="s">
        <v>16</v>
      </c>
      <c r="U4" s="118" t="s">
        <v>17</v>
      </c>
      <c r="V4" s="119"/>
      <c r="W4" s="119"/>
      <c r="X4" s="119"/>
    </row>
    <row r="5" spans="1:33" ht="12.75" customHeight="1" x14ac:dyDescent="0.2">
      <c r="A5" s="120" t="s">
        <v>18</v>
      </c>
      <c r="B5" s="121"/>
      <c r="C5" s="121"/>
      <c r="D5" s="121"/>
      <c r="E5" s="121"/>
      <c r="F5" s="121"/>
      <c r="G5" s="122"/>
      <c r="H5" s="123" t="s">
        <v>20</v>
      </c>
      <c r="I5" s="124"/>
      <c r="J5" s="125"/>
      <c r="K5" s="126"/>
      <c r="L5" s="126"/>
      <c r="M5" s="126"/>
      <c r="N5" s="126"/>
      <c r="O5" s="126"/>
      <c r="P5" s="126"/>
      <c r="Q5" s="126"/>
      <c r="R5" s="126"/>
      <c r="S5" s="126"/>
      <c r="T5" s="126"/>
      <c r="U5" s="127"/>
      <c r="V5" s="119"/>
      <c r="W5" s="119"/>
      <c r="X5" s="119"/>
    </row>
    <row r="6" spans="1:33" s="135" customFormat="1" ht="12.75" customHeight="1" x14ac:dyDescent="0.2">
      <c r="A6" s="128"/>
      <c r="B6" s="114" t="s">
        <v>48</v>
      </c>
      <c r="C6" s="129"/>
      <c r="D6" s="130"/>
      <c r="E6" s="129"/>
      <c r="F6" s="131"/>
      <c r="G6" s="132"/>
      <c r="H6" s="117">
        <f>+H7+H14+H15+H16+H17+H19+H20</f>
        <v>700049552.78799999</v>
      </c>
      <c r="I6" s="117">
        <f>+I7+I14+I15+I16+I17+I19+I20</f>
        <v>44502247.688879997</v>
      </c>
      <c r="J6" s="133">
        <f t="shared" ref="J6:T6" si="0">+J7+J14+J15+J16+J17+J19+J20</f>
        <v>40267541.448380001</v>
      </c>
      <c r="K6" s="134">
        <f t="shared" si="0"/>
        <v>75893153.321600005</v>
      </c>
      <c r="L6" s="134">
        <f t="shared" si="0"/>
        <v>38199166.259870008</v>
      </c>
      <c r="M6" s="134">
        <f t="shared" si="0"/>
        <v>54625199.190710008</v>
      </c>
      <c r="N6" s="134">
        <f t="shared" si="0"/>
        <v>54199269.159560002</v>
      </c>
      <c r="O6" s="134">
        <f t="shared" si="0"/>
        <v>41509113.366560005</v>
      </c>
      <c r="P6" s="134">
        <f t="shared" si="0"/>
        <v>42477963.018860005</v>
      </c>
      <c r="Q6" s="134">
        <f>+Q7+Q14+Q15+Q16+Q17+Q19+Q20</f>
        <v>113137906.21742998</v>
      </c>
      <c r="R6" s="134">
        <f t="shared" si="0"/>
        <v>48426034.441939987</v>
      </c>
      <c r="S6" s="134">
        <f t="shared" si="0"/>
        <v>90564483.399649978</v>
      </c>
      <c r="T6" s="134">
        <f t="shared" si="0"/>
        <v>74378421.498849973</v>
      </c>
      <c r="U6" s="118">
        <f>+U7+U14+U15+U16+U17+U19+U20</f>
        <v>718180499.01229</v>
      </c>
      <c r="V6" s="119"/>
      <c r="W6" s="119"/>
      <c r="X6" s="119"/>
    </row>
    <row r="7" spans="1:33" ht="12.75" customHeight="1" x14ac:dyDescent="0.2">
      <c r="A7" s="113"/>
      <c r="B7" s="108"/>
      <c r="C7" s="105" t="s">
        <v>49</v>
      </c>
      <c r="D7" s="108"/>
      <c r="E7" s="108"/>
      <c r="F7" s="114"/>
      <c r="G7" s="115"/>
      <c r="H7" s="136">
        <f>(+H8+H9+H10+H11+H12)</f>
        <v>482143081.366</v>
      </c>
      <c r="I7" s="136">
        <f>(+I8+I9+I10+I11+I12)</f>
        <v>41615902.929719999</v>
      </c>
      <c r="J7" s="136">
        <f t="shared" ref="J7:T7" si="1">(+J8+J9+J10+J11+J12)</f>
        <v>36192555.250660002</v>
      </c>
      <c r="K7" s="137">
        <f t="shared" si="1"/>
        <v>33797792.299890004</v>
      </c>
      <c r="L7" s="137">
        <f t="shared" si="1"/>
        <v>34826342.628380008</v>
      </c>
      <c r="M7" s="137">
        <f t="shared" si="1"/>
        <v>36297897.417770006</v>
      </c>
      <c r="N7" s="137">
        <f t="shared" si="1"/>
        <v>35952831.695350006</v>
      </c>
      <c r="O7" s="137">
        <f t="shared" si="1"/>
        <v>37860117.452960007</v>
      </c>
      <c r="P7" s="137">
        <f t="shared" si="1"/>
        <v>38487473.443060003</v>
      </c>
      <c r="Q7" s="137">
        <f t="shared" si="1"/>
        <v>45457888.316809997</v>
      </c>
      <c r="R7" s="137">
        <f t="shared" si="1"/>
        <v>44037920.551440001</v>
      </c>
      <c r="S7" s="137">
        <f t="shared" si="1"/>
        <v>55833861.342059985</v>
      </c>
      <c r="T7" s="137">
        <f t="shared" si="1"/>
        <v>46645694.188979998</v>
      </c>
      <c r="U7" s="138">
        <f>(+U8+U9+U10+U11+U12)</f>
        <v>487006277.51708001</v>
      </c>
      <c r="V7" s="139"/>
      <c r="W7" s="139"/>
      <c r="X7" s="139"/>
    </row>
    <row r="8" spans="1:33" ht="12.75" customHeight="1" x14ac:dyDescent="0.2">
      <c r="A8" s="113"/>
      <c r="B8" s="114"/>
      <c r="C8" s="108"/>
      <c r="D8" s="108"/>
      <c r="E8" s="692" t="s">
        <v>50</v>
      </c>
      <c r="F8" s="692"/>
      <c r="G8" s="693"/>
      <c r="H8" s="137">
        <v>38066025.982999995</v>
      </c>
      <c r="I8" s="136">
        <v>532955.74387999997</v>
      </c>
      <c r="J8" s="139">
        <f>629316.68601-532956+534747</f>
        <v>631107.68600999995</v>
      </c>
      <c r="K8" s="140">
        <f>720104.87132-1164063+1166249</f>
        <v>722290.87132000003</v>
      </c>
      <c r="L8" s="140">
        <f>764881.78328-1886354+1890214</f>
        <v>768741.78328000009</v>
      </c>
      <c r="M8" s="140">
        <f>8709341.33208-2655096+2658352</f>
        <v>8712597.3320799991</v>
      </c>
      <c r="N8" s="140">
        <f>2109667.74589-11367693+11366540</f>
        <v>2108514.745889999</v>
      </c>
      <c r="O8" s="140">
        <f>1459243.92581-13476208+13488175</f>
        <v>1471210.9258099999</v>
      </c>
      <c r="P8" s="140">
        <f>1761936.68629-14947419+14953936</f>
        <v>1768453.6862899996</v>
      </c>
      <c r="Q8" s="140">
        <f>1442146.83107-16715873+16720004</f>
        <v>1446277.8310700003</v>
      </c>
      <c r="R8" s="140">
        <f>1541675.40638-18162151+18171172</f>
        <v>1550696.4063799996</v>
      </c>
      <c r="S8" s="140">
        <f>17450967.15106-19712847+19720282</f>
        <v>17458402.15106</v>
      </c>
      <c r="T8" s="140">
        <v>2029243.3959900003</v>
      </c>
      <c r="U8" s="138">
        <f>SUM(I8:T8)</f>
        <v>39200492.559059992</v>
      </c>
      <c r="V8" s="139"/>
      <c r="W8" s="139"/>
      <c r="X8" s="139"/>
    </row>
    <row r="9" spans="1:33" ht="12.75" customHeight="1" x14ac:dyDescent="0.2">
      <c r="A9" s="113"/>
      <c r="B9" s="114"/>
      <c r="C9" s="108"/>
      <c r="D9" s="108"/>
      <c r="E9" s="108" t="s">
        <v>51</v>
      </c>
      <c r="F9" s="114"/>
      <c r="G9" s="136"/>
      <c r="H9" s="137">
        <v>483358524.48400003</v>
      </c>
      <c r="I9" s="136">
        <v>41692107.038860001</v>
      </c>
      <c r="J9" s="139">
        <f>37255109.59198-41692107+41692107</f>
        <v>37255109.591980003</v>
      </c>
      <c r="K9" s="140">
        <f>34481178.62707-78947217+78947217</f>
        <v>34481178.627070002</v>
      </c>
      <c r="L9" s="140">
        <f>36096742.5331-113428395+113428395</f>
        <v>36096742.533100009</v>
      </c>
      <c r="M9" s="140">
        <f>37366127.87103-149525138+149525138</f>
        <v>37366127.871030003</v>
      </c>
      <c r="N9" s="140">
        <f>39332802.73587-186891266+186891266</f>
        <v>39332802.735870004</v>
      </c>
      <c r="O9" s="140">
        <f>40894525.01229-226224068+226224068</f>
        <v>40894525.012290001</v>
      </c>
      <c r="P9" s="140">
        <f>40881736.10405-267118593+267118593</f>
        <v>40881736.10405001</v>
      </c>
      <c r="Q9" s="140">
        <f>47007550.11528-308000330+308000330</f>
        <v>47007550.115280002</v>
      </c>
      <c r="R9" s="140">
        <f>44996207.89853-355007880+355007880</f>
        <v>44996207.898530006</v>
      </c>
      <c r="S9" s="140">
        <f>42294852.44758-400004088+400004090</f>
        <v>42294854.44757998</v>
      </c>
      <c r="T9" s="140">
        <v>47486979.384389997</v>
      </c>
      <c r="U9" s="138">
        <f>SUM(I9:T9)</f>
        <v>489785921.36003006</v>
      </c>
      <c r="V9" s="139"/>
      <c r="W9" s="139"/>
      <c r="X9" s="139"/>
    </row>
    <row r="10" spans="1:33" ht="12.75" customHeight="1" x14ac:dyDescent="0.25">
      <c r="A10" s="113"/>
      <c r="B10" s="114"/>
      <c r="C10" s="108"/>
      <c r="D10" s="108"/>
      <c r="E10" s="694" t="s">
        <v>52</v>
      </c>
      <c r="F10" s="695"/>
      <c r="G10" s="696"/>
      <c r="H10" s="137">
        <v>-5463979.6129999999</v>
      </c>
      <c r="I10" s="136">
        <v>-50673.258329999997</v>
      </c>
      <c r="J10" s="139">
        <f>-835644.90192-50673 +50673</f>
        <v>-835644.90191999997</v>
      </c>
      <c r="K10" s="140">
        <f>-542577.35311-886318+886318</f>
        <v>-542577.35311000003</v>
      </c>
      <c r="L10" s="140">
        <f>-630563.10416-1428896+1428895+1</f>
        <v>-630563.1041600001</v>
      </c>
      <c r="M10" s="140">
        <f>-721237.6477-2059459+2059457</f>
        <v>-721239.64770000009</v>
      </c>
      <c r="N10" s="140">
        <f>-528888.24427+2780698-2780696</f>
        <v>-528886.24427000014</v>
      </c>
      <c r="O10" s="140">
        <f>-376226.14927-3309585+3309585</f>
        <v>-376226.14926999994</v>
      </c>
      <c r="P10" s="140">
        <f>-333392.25274-3685811+3685811</f>
        <v>-333392.25273999991</v>
      </c>
      <c r="Q10" s="140">
        <f>-340695.72862-4019203+4019203</f>
        <v>-340695.72862000018</v>
      </c>
      <c r="R10" s="140">
        <f>-322886.75233-4359899+4359899</f>
        <v>-322886.75232999958</v>
      </c>
      <c r="S10" s="140">
        <f>-339870.86841-4682785+4682785</f>
        <v>-339870.86840999965</v>
      </c>
      <c r="T10" s="140">
        <v>-369316.15598000004</v>
      </c>
      <c r="U10" s="138">
        <f>SUM(I10:T10)</f>
        <v>-5391972.4168400001</v>
      </c>
      <c r="V10" s="139"/>
      <c r="W10" s="139"/>
      <c r="X10" s="139"/>
    </row>
    <row r="11" spans="1:33" ht="12.75" customHeight="1" x14ac:dyDescent="0.2">
      <c r="A11" s="113"/>
      <c r="B11" s="114"/>
      <c r="C11" s="108"/>
      <c r="D11" s="108"/>
      <c r="E11" s="108" t="s">
        <v>53</v>
      </c>
      <c r="F11" s="114"/>
      <c r="G11" s="136"/>
      <c r="H11" s="137">
        <v>-1671153.794</v>
      </c>
      <c r="I11" s="136">
        <v>-28022.66575</v>
      </c>
      <c r="J11" s="139">
        <f>-172007.06936-28023+28023</f>
        <v>-172007.06935999999</v>
      </c>
      <c r="K11" s="140">
        <f>-287062.47683-200030+200030</f>
        <v>-287062.47683</v>
      </c>
      <c r="L11" s="140">
        <f>-325112.87945-487092+487092</f>
        <v>-325112.87945000001</v>
      </c>
      <c r="M11" s="140">
        <f>-492219.62296-812205+812205</f>
        <v>-492219.62296000007</v>
      </c>
      <c r="N11" s="140">
        <f>-81601.19394-1304425+1304425</f>
        <v>-81601.19393999991</v>
      </c>
      <c r="O11" s="140">
        <f>-78021.36335-1386026+1386026</f>
        <v>-78021.36335</v>
      </c>
      <c r="P11" s="140">
        <f>-28738.37287-1464047+1464047</f>
        <v>-28738.372870000079</v>
      </c>
      <c r="Q11" s="140">
        <f>-20169.09295-1492786+1492786</f>
        <v>-20169.092949999962</v>
      </c>
      <c r="R11" s="140">
        <f>-55124.57698-1512955+1512955</f>
        <v>-55124.576979999896</v>
      </c>
      <c r="S11" s="140">
        <f>-151856.35319-1568079+1568079</f>
        <v>-151856.35318999994</v>
      </c>
      <c r="T11" s="140">
        <v>-52810.388450000006</v>
      </c>
      <c r="U11" s="138">
        <f>SUM(I11:T11)</f>
        <v>-1772746.0560799998</v>
      </c>
      <c r="V11" s="139"/>
      <c r="W11" s="139"/>
      <c r="X11" s="139"/>
    </row>
    <row r="12" spans="1:33" ht="12.75" customHeight="1" x14ac:dyDescent="0.2">
      <c r="A12" s="113"/>
      <c r="B12" s="114"/>
      <c r="C12" s="108"/>
      <c r="D12" s="108"/>
      <c r="E12" s="108" t="s">
        <v>54</v>
      </c>
      <c r="F12" s="114"/>
      <c r="G12" s="136"/>
      <c r="H12" s="137">
        <v>-32146335.693999998</v>
      </c>
      <c r="I12" s="136">
        <v>-530463.92894000001</v>
      </c>
      <c r="J12" s="139">
        <f>-686010.05605-530464+530464</f>
        <v>-686010.05605000001</v>
      </c>
      <c r="K12" s="140">
        <f>-576037.36856-1216474+1216474</f>
        <v>-576037.36855999986</v>
      </c>
      <c r="L12" s="140">
        <f>-1083465.70439-1792511+1792511</f>
        <v>-1083465.7043900001</v>
      </c>
      <c r="M12" s="140">
        <f>-8567368.51468-2875977+2875977</f>
        <v>-8567368.51468</v>
      </c>
      <c r="N12" s="140">
        <f>-4877998.3482-11443346+11443346</f>
        <v>-4877998.3482000008</v>
      </c>
      <c r="O12" s="140">
        <f>-4051370.97252-16321344+16321344</f>
        <v>-4051370.9725200012</v>
      </c>
      <c r="P12" s="140">
        <f>-3800585.72167-20372715+20372715</f>
        <v>-3800585.7216700017</v>
      </c>
      <c r="Q12" s="140">
        <f>-2635074.80797-24173301+24173301</f>
        <v>-2635074.8079699986</v>
      </c>
      <c r="R12" s="140">
        <f>-2130972.42416-26808375+26808375</f>
        <v>-2130972.4241599999</v>
      </c>
      <c r="S12" s="140">
        <f>-3427668.03498-28939348+28939348</f>
        <v>-3427668.0349799991</v>
      </c>
      <c r="T12" s="140">
        <v>-2448402.0469699996</v>
      </c>
      <c r="U12" s="138">
        <f>SUM(I12:T12)</f>
        <v>-34815417.929090001</v>
      </c>
      <c r="V12" s="139"/>
      <c r="W12" s="139"/>
      <c r="X12" s="139"/>
    </row>
    <row r="13" spans="1:33" ht="12.75" customHeight="1" x14ac:dyDescent="0.2">
      <c r="A13" s="113"/>
      <c r="B13" s="108"/>
      <c r="C13" s="692" t="s">
        <v>55</v>
      </c>
      <c r="D13" s="692"/>
      <c r="E13" s="692"/>
      <c r="F13" s="692"/>
      <c r="G13" s="693"/>
      <c r="H13" s="137"/>
      <c r="I13" s="136"/>
      <c r="J13" s="139"/>
      <c r="K13" s="140"/>
      <c r="L13" s="140"/>
      <c r="M13" s="140"/>
      <c r="N13" s="140"/>
      <c r="O13" s="140"/>
      <c r="P13" s="140"/>
      <c r="Q13" s="140"/>
      <c r="R13" s="140"/>
      <c r="S13" s="140"/>
      <c r="T13" s="140"/>
      <c r="U13" s="138"/>
      <c r="V13" s="139"/>
      <c r="W13" s="139"/>
      <c r="X13" s="139"/>
      <c r="Y13" s="135"/>
    </row>
    <row r="14" spans="1:33" ht="12.75" customHeight="1" x14ac:dyDescent="0.2">
      <c r="A14" s="113"/>
      <c r="B14" s="108"/>
      <c r="C14" s="108"/>
      <c r="D14" s="108"/>
      <c r="E14" s="108" t="s">
        <v>56</v>
      </c>
      <c r="F14" s="108"/>
      <c r="G14" s="136"/>
      <c r="H14" s="137">
        <v>188800785.85000002</v>
      </c>
      <c r="I14" s="136">
        <v>384842.90894999984</v>
      </c>
      <c r="J14" s="139">
        <f>437017.20909-384843+393075</f>
        <v>445249.20909000002</v>
      </c>
      <c r="K14" s="140">
        <f>39922511.53065-830092+821513</f>
        <v>39913932.530649997</v>
      </c>
      <c r="L14" s="140">
        <f>1548234.13954-40744025+40762136+1</f>
        <v>1566346.1395400017</v>
      </c>
      <c r="M14" s="140">
        <f>16566010.45242-42310371+42327765</f>
        <v>16583404.45242</v>
      </c>
      <c r="N14" s="140">
        <f>16693780.42493-58893775+58936820</f>
        <v>16736825.424929999</v>
      </c>
      <c r="O14" s="140">
        <f>1024152.44984-75630601+75675043</f>
        <v>1068594.4498399943</v>
      </c>
      <c r="P14" s="140">
        <f>2098721.05977-76699195+76742992</f>
        <v>2142518.059770003</v>
      </c>
      <c r="Q14" s="140">
        <f>65830652.06303-78841713+78876874</f>
        <v>65865813.063029997</v>
      </c>
      <c r="R14" s="140">
        <f>1368911.09104-144707526+144819121</f>
        <v>1480506.0910399854</v>
      </c>
      <c r="S14" s="140">
        <f>31887764.54716-146188032+146237893</f>
        <v>31937625.54716</v>
      </c>
      <c r="T14" s="140">
        <v>23973667.948279999</v>
      </c>
      <c r="U14" s="138">
        <f>SUM(I14:T14)</f>
        <v>202099325.8247</v>
      </c>
      <c r="V14" s="139"/>
      <c r="W14" s="139"/>
      <c r="X14" s="139"/>
      <c r="Y14" s="135"/>
    </row>
    <row r="15" spans="1:33" ht="12.75" customHeight="1" x14ac:dyDescent="0.2">
      <c r="A15" s="113"/>
      <c r="B15" s="108"/>
      <c r="C15" s="108"/>
      <c r="D15" s="108"/>
      <c r="E15" s="688" t="s">
        <v>57</v>
      </c>
      <c r="F15" s="688"/>
      <c r="G15" s="689"/>
      <c r="H15" s="137">
        <v>51076.900999999998</v>
      </c>
      <c r="I15" s="136">
        <v>591.75368000000003</v>
      </c>
      <c r="J15" s="139">
        <v>358.55195000000003</v>
      </c>
      <c r="K15" s="140">
        <v>-543.68684999999994</v>
      </c>
      <c r="L15" s="140">
        <v>1414.5836100000001</v>
      </c>
      <c r="M15" s="140">
        <v>14900.17238</v>
      </c>
      <c r="N15" s="140">
        <v>1545.65642</v>
      </c>
      <c r="O15" s="140">
        <v>1452.81231</v>
      </c>
      <c r="P15" s="140">
        <v>787.68525999999997</v>
      </c>
      <c r="Q15" s="140">
        <v>11587.871779999999</v>
      </c>
      <c r="R15" s="140">
        <v>10152.577949999999</v>
      </c>
      <c r="S15" s="140">
        <v>578.45497999999998</v>
      </c>
      <c r="T15" s="140">
        <v>20923.132819999999</v>
      </c>
      <c r="U15" s="138">
        <f>SUM(I15:T15)</f>
        <v>63749.566290000002</v>
      </c>
      <c r="V15" s="139"/>
      <c r="W15" s="139"/>
      <c r="X15" s="139"/>
      <c r="Y15" s="135"/>
    </row>
    <row r="16" spans="1:33" ht="12.75" customHeight="1" x14ac:dyDescent="0.2">
      <c r="A16" s="113"/>
      <c r="B16" s="108"/>
      <c r="C16" s="108"/>
      <c r="D16" s="108"/>
      <c r="E16" s="688" t="s">
        <v>58</v>
      </c>
      <c r="F16" s="688"/>
      <c r="G16" s="689"/>
      <c r="H16" s="137">
        <v>22929037.114</v>
      </c>
      <c r="I16" s="136">
        <v>2209079.9366000001</v>
      </c>
      <c r="J16" s="139">
        <v>3349193.38399</v>
      </c>
      <c r="K16" s="140">
        <v>1867407.8515699999</v>
      </c>
      <c r="L16" s="140">
        <v>1470064.80709</v>
      </c>
      <c r="M16" s="140">
        <v>1308870.1526300001</v>
      </c>
      <c r="N16" s="140">
        <v>1067478.5544199999</v>
      </c>
      <c r="O16" s="140">
        <v>2239556.21636</v>
      </c>
      <c r="P16" s="140">
        <v>1525227.9124499999</v>
      </c>
      <c r="Q16" s="140">
        <v>1430045.4186800001</v>
      </c>
      <c r="R16" s="140">
        <v>2718753.6723799999</v>
      </c>
      <c r="S16" s="140">
        <v>2500497.7941000001</v>
      </c>
      <c r="T16" s="140">
        <v>3095436.7792699998</v>
      </c>
      <c r="U16" s="138">
        <f>SUM(I16:T16)</f>
        <v>24781612.479540005</v>
      </c>
      <c r="V16" s="139"/>
      <c r="W16" s="139"/>
      <c r="X16" s="139"/>
      <c r="Y16" s="135"/>
    </row>
    <row r="17" spans="1:25" ht="12.75" customHeight="1" x14ac:dyDescent="0.2">
      <c r="A17" s="113"/>
      <c r="B17" s="108"/>
      <c r="C17" s="108"/>
      <c r="D17" s="108"/>
      <c r="E17" s="688" t="s">
        <v>59</v>
      </c>
      <c r="F17" s="688"/>
      <c r="G17" s="689"/>
      <c r="H17" s="137">
        <v>476356.484</v>
      </c>
      <c r="I17" s="136">
        <v>59182.997109999997</v>
      </c>
      <c r="J17" s="139">
        <v>31029.25405</v>
      </c>
      <c r="K17" s="140">
        <v>32443.184300000001</v>
      </c>
      <c r="L17" s="140">
        <v>43083.216130000001</v>
      </c>
      <c r="M17" s="140">
        <v>23768.29952</v>
      </c>
      <c r="N17" s="140">
        <v>40209.965609999999</v>
      </c>
      <c r="O17" s="140">
        <v>57329.075709999997</v>
      </c>
      <c r="P17" s="140">
        <v>38019.836139999999</v>
      </c>
      <c r="Q17" s="140">
        <v>30230.652859999998</v>
      </c>
      <c r="R17" s="140">
        <v>28941.377190000003</v>
      </c>
      <c r="S17" s="140">
        <v>34950.095829999998</v>
      </c>
      <c r="T17" s="140">
        <v>71116.683109999998</v>
      </c>
      <c r="U17" s="138">
        <f>SUM(I17:T17)</f>
        <v>490304.63756</v>
      </c>
      <c r="V17" s="139"/>
      <c r="W17" s="139"/>
      <c r="X17" s="139"/>
      <c r="Y17" s="135"/>
    </row>
    <row r="18" spans="1:25" ht="12.75" x14ac:dyDescent="0.2">
      <c r="A18" s="113"/>
      <c r="B18" s="108"/>
      <c r="C18" s="108" t="s">
        <v>60</v>
      </c>
      <c r="D18" s="108"/>
      <c r="E18" s="108"/>
      <c r="F18" s="108"/>
      <c r="G18" s="136"/>
      <c r="H18" s="137"/>
      <c r="I18" s="136"/>
      <c r="J18" s="139"/>
      <c r="K18" s="140"/>
      <c r="L18" s="140"/>
      <c r="M18" s="140"/>
      <c r="N18" s="140"/>
      <c r="O18" s="140"/>
      <c r="P18" s="140"/>
      <c r="Q18" s="140"/>
      <c r="R18" s="140"/>
      <c r="S18" s="140"/>
      <c r="T18" s="140"/>
      <c r="U18" s="138"/>
      <c r="V18" s="139"/>
      <c r="W18" s="139"/>
      <c r="X18" s="139"/>
      <c r="Y18" s="135"/>
    </row>
    <row r="19" spans="1:25" ht="12.75" customHeight="1" x14ac:dyDescent="0.2">
      <c r="A19" s="113"/>
      <c r="B19" s="108"/>
      <c r="C19" s="108"/>
      <c r="D19" s="108"/>
      <c r="E19" s="692" t="s">
        <v>61</v>
      </c>
      <c r="F19" s="692"/>
      <c r="G19" s="693"/>
      <c r="H19" s="137">
        <v>5649179.9100000001</v>
      </c>
      <c r="I19" s="136">
        <v>232647.16282000003</v>
      </c>
      <c r="J19" s="139">
        <f>259107.23964-232647+222624</f>
        <v>249084.23964000001</v>
      </c>
      <c r="K19" s="140">
        <f>275728.14204-481731+488124</f>
        <v>282121.14204000001</v>
      </c>
      <c r="L19" s="140">
        <f>313886.88512-763853+741881</f>
        <v>291914.88511999999</v>
      </c>
      <c r="M19" s="140">
        <f>417007.69599-1055767+1035118</f>
        <v>396358.69598999992</v>
      </c>
      <c r="N19" s="140">
        <f>442271.86283-1452126+1410232</f>
        <v>400377.86283</v>
      </c>
      <c r="O19" s="140">
        <f>338472.35938-1852504+1796095</f>
        <v>282063.35938000004</v>
      </c>
      <c r="P19" s="140">
        <f>334250.08218-2134567+2084253</f>
        <v>283936.08217999991</v>
      </c>
      <c r="Q19" s="140">
        <f>381631.89427-2418503+2379212</f>
        <v>342340.89427000005</v>
      </c>
      <c r="R19" s="140">
        <f>270376.17194-2760844+2640228</f>
        <v>149760.1719399998</v>
      </c>
      <c r="S19" s="140">
        <f>314264.16552-2910604+2853310</f>
        <v>256970.16551999981</v>
      </c>
      <c r="T19" s="140">
        <v>571582.76639</v>
      </c>
      <c r="U19" s="138">
        <f>SUM(I19:T19)</f>
        <v>3739157.4281199994</v>
      </c>
      <c r="V19" s="139"/>
      <c r="W19" s="139"/>
      <c r="X19" s="139"/>
      <c r="Y19" s="135"/>
    </row>
    <row r="20" spans="1:25" ht="12.75" customHeight="1" x14ac:dyDescent="0.2">
      <c r="A20" s="113"/>
      <c r="B20" s="108"/>
      <c r="C20" s="108"/>
      <c r="D20" s="108"/>
      <c r="E20" s="688" t="s">
        <v>62</v>
      </c>
      <c r="F20" s="688"/>
      <c r="G20" s="689"/>
      <c r="H20" s="137">
        <v>35.162999999999997</v>
      </c>
      <c r="I20" s="136">
        <v>0</v>
      </c>
      <c r="J20" s="139">
        <v>71.558999999999997</v>
      </c>
      <c r="K20" s="140">
        <v>0</v>
      </c>
      <c r="L20" s="140">
        <v>0</v>
      </c>
      <c r="M20" s="140">
        <v>0</v>
      </c>
      <c r="N20" s="140">
        <v>0</v>
      </c>
      <c r="O20" s="140">
        <v>0</v>
      </c>
      <c r="P20" s="140">
        <v>0</v>
      </c>
      <c r="Q20" s="140">
        <v>0</v>
      </c>
      <c r="R20" s="140">
        <v>0</v>
      </c>
      <c r="S20" s="140">
        <v>0</v>
      </c>
      <c r="T20" s="140">
        <v>0</v>
      </c>
      <c r="U20" s="138">
        <f>SUM(I20:T20)</f>
        <v>71.558999999999997</v>
      </c>
      <c r="V20" s="139"/>
      <c r="W20" s="139"/>
      <c r="X20" s="139"/>
      <c r="Y20" s="135"/>
    </row>
    <row r="21" spans="1:25" s="135" customFormat="1" ht="12.75" customHeight="1" x14ac:dyDescent="0.2">
      <c r="A21" s="141"/>
      <c r="B21" s="114" t="s">
        <v>63</v>
      </c>
      <c r="C21" s="129"/>
      <c r="D21" s="130"/>
      <c r="E21" s="142"/>
      <c r="F21" s="142"/>
      <c r="G21" s="143"/>
      <c r="H21" s="144">
        <f>H22</f>
        <v>10174610.989</v>
      </c>
      <c r="I21" s="144">
        <f t="shared" ref="I21:U21" si="2">I22</f>
        <v>1448896.29446</v>
      </c>
      <c r="J21" s="145">
        <f t="shared" si="2"/>
        <v>1119036.5325999998</v>
      </c>
      <c r="K21" s="146">
        <f t="shared" si="2"/>
        <v>8683.9046199999993</v>
      </c>
      <c r="L21" s="146">
        <f t="shared" si="2"/>
        <v>88985.843720000004</v>
      </c>
      <c r="M21" s="146">
        <f t="shared" si="2"/>
        <v>75881.088000000003</v>
      </c>
      <c r="N21" s="146">
        <f t="shared" si="2"/>
        <v>169905.86504</v>
      </c>
      <c r="O21" s="146">
        <f t="shared" si="2"/>
        <v>1462514.1096400002</v>
      </c>
      <c r="P21" s="146">
        <f t="shared" si="2"/>
        <v>1488220.46254</v>
      </c>
      <c r="Q21" s="146">
        <f t="shared" si="2"/>
        <v>1667699.5313499998</v>
      </c>
      <c r="R21" s="146">
        <f t="shared" si="2"/>
        <v>1637904.7564300001</v>
      </c>
      <c r="S21" s="146">
        <f t="shared" si="2"/>
        <v>1463554.3070999999</v>
      </c>
      <c r="T21" s="146">
        <f t="shared" si="2"/>
        <v>1618946.7662799999</v>
      </c>
      <c r="U21" s="147">
        <f t="shared" si="2"/>
        <v>12250229.461779999</v>
      </c>
      <c r="V21" s="145"/>
      <c r="W21" s="145"/>
      <c r="X21" s="145"/>
    </row>
    <row r="22" spans="1:25" ht="12.75" customHeight="1" x14ac:dyDescent="0.2">
      <c r="A22" s="113"/>
      <c r="B22" s="108"/>
      <c r="C22" s="148" t="s">
        <v>64</v>
      </c>
      <c r="D22" s="108"/>
      <c r="E22" s="108"/>
      <c r="F22" s="149"/>
      <c r="G22" s="143"/>
      <c r="H22" s="137">
        <v>10174610.989</v>
      </c>
      <c r="I22" s="136">
        <v>1448896.29446</v>
      </c>
      <c r="J22" s="139">
        <v>1119036.5325999998</v>
      </c>
      <c r="K22" s="140">
        <v>8683.9046199999993</v>
      </c>
      <c r="L22" s="140">
        <v>88985.843720000004</v>
      </c>
      <c r="M22" s="140">
        <v>75881.088000000003</v>
      </c>
      <c r="N22" s="140">
        <v>169905.86504</v>
      </c>
      <c r="O22" s="140">
        <v>1462514.1096400002</v>
      </c>
      <c r="P22" s="140">
        <v>1488220.46254</v>
      </c>
      <c r="Q22" s="140">
        <v>1667699.5313499998</v>
      </c>
      <c r="R22" s="140">
        <v>1637904.7564300001</v>
      </c>
      <c r="S22" s="140">
        <v>1463554.3070999999</v>
      </c>
      <c r="T22" s="140">
        <v>1618946.7662799999</v>
      </c>
      <c r="U22" s="138">
        <f>SUM(I22:T22)</f>
        <v>12250229.461779999</v>
      </c>
      <c r="V22" s="139"/>
      <c r="W22" s="139"/>
      <c r="X22" s="139"/>
      <c r="Y22" s="135"/>
    </row>
    <row r="23" spans="1:25" s="135" customFormat="1" ht="12.75" customHeight="1" x14ac:dyDescent="0.2">
      <c r="A23" s="141"/>
      <c r="B23" s="114" t="s">
        <v>65</v>
      </c>
      <c r="C23" s="129"/>
      <c r="D23" s="130"/>
      <c r="E23" s="142"/>
      <c r="F23" s="142"/>
      <c r="G23" s="143"/>
      <c r="H23" s="144">
        <f>SUM(H24:H29)</f>
        <v>15480407.149999999</v>
      </c>
      <c r="I23" s="144">
        <f>SUM(I24:I29)</f>
        <v>930000.28094000008</v>
      </c>
      <c r="J23" s="145">
        <f t="shared" ref="J23:U23" si="3">SUM(J24:J29)</f>
        <v>964345.83990000002</v>
      </c>
      <c r="K23" s="146">
        <f t="shared" si="3"/>
        <v>1222430.14439</v>
      </c>
      <c r="L23" s="146">
        <f t="shared" si="3"/>
        <v>1300104.89249</v>
      </c>
      <c r="M23" s="146">
        <f t="shared" si="3"/>
        <v>1253114.29495</v>
      </c>
      <c r="N23" s="146">
        <f t="shared" si="3"/>
        <v>1425464.15118</v>
      </c>
      <c r="O23" s="146">
        <f t="shared" si="3"/>
        <v>1457954.3470199998</v>
      </c>
      <c r="P23" s="146">
        <f t="shared" si="3"/>
        <v>1638130.02015</v>
      </c>
      <c r="Q23" s="146">
        <f t="shared" si="3"/>
        <v>1246894.6395299998</v>
      </c>
      <c r="R23" s="146">
        <f t="shared" si="3"/>
        <v>1262648.4423799999</v>
      </c>
      <c r="S23" s="146">
        <f t="shared" si="3"/>
        <v>1471051.33702</v>
      </c>
      <c r="T23" s="146">
        <f t="shared" si="3"/>
        <v>1774479.28997</v>
      </c>
      <c r="U23" s="147">
        <f t="shared" si="3"/>
        <v>15946617.679919999</v>
      </c>
      <c r="V23" s="145"/>
      <c r="W23" s="145"/>
      <c r="X23" s="145"/>
    </row>
    <row r="24" spans="1:25" s="135" customFormat="1" ht="12.75" customHeight="1" x14ac:dyDescent="0.2">
      <c r="A24" s="141"/>
      <c r="B24" s="114"/>
      <c r="C24" s="692" t="s">
        <v>66</v>
      </c>
      <c r="D24" s="692"/>
      <c r="E24" s="692"/>
      <c r="F24" s="692"/>
      <c r="G24" s="693"/>
      <c r="H24" s="137"/>
      <c r="I24" s="136"/>
      <c r="J24" s="139"/>
      <c r="K24" s="140"/>
      <c r="L24" s="140"/>
      <c r="M24" s="140"/>
      <c r="N24" s="140"/>
      <c r="O24" s="140"/>
      <c r="P24" s="140"/>
      <c r="Q24" s="140"/>
      <c r="R24" s="140"/>
      <c r="S24" s="140"/>
      <c r="T24" s="140"/>
      <c r="U24" s="138"/>
      <c r="V24" s="139"/>
      <c r="W24" s="139"/>
      <c r="X24" s="139"/>
    </row>
    <row r="25" spans="1:25" ht="12.75" customHeight="1" x14ac:dyDescent="0.2">
      <c r="A25" s="113"/>
      <c r="B25" s="108"/>
      <c r="C25" s="108"/>
      <c r="D25" s="108"/>
      <c r="E25" s="148" t="s">
        <v>67</v>
      </c>
      <c r="F25" s="148"/>
      <c r="G25" s="143"/>
      <c r="H25" s="137">
        <v>593690.66299999994</v>
      </c>
      <c r="I25" s="136">
        <v>31559.846730000001</v>
      </c>
      <c r="J25" s="139">
        <v>10892.31041</v>
      </c>
      <c r="K25" s="140">
        <v>46560.754789999999</v>
      </c>
      <c r="L25" s="140">
        <v>34777.232400000001</v>
      </c>
      <c r="M25" s="140">
        <v>55122.520259999998</v>
      </c>
      <c r="N25" s="140">
        <v>68695.364930000011</v>
      </c>
      <c r="O25" s="140">
        <v>25458.964090000001</v>
      </c>
      <c r="P25" s="140">
        <v>64813.07576</v>
      </c>
      <c r="Q25" s="140">
        <v>55056.423969999996</v>
      </c>
      <c r="R25" s="140">
        <v>32973.087879999999</v>
      </c>
      <c r="S25" s="140">
        <v>44203.907119999996</v>
      </c>
      <c r="T25" s="140">
        <v>131889.35981999998</v>
      </c>
      <c r="U25" s="138">
        <f>SUM(I25:T25)</f>
        <v>602002.84815999994</v>
      </c>
      <c r="V25" s="139"/>
      <c r="W25" s="139"/>
      <c r="X25" s="139"/>
      <c r="Y25" s="135"/>
    </row>
    <row r="26" spans="1:25" ht="12.75" customHeight="1" x14ac:dyDescent="0.2">
      <c r="A26" s="113"/>
      <c r="B26" s="108"/>
      <c r="C26" s="108"/>
      <c r="D26" s="108"/>
      <c r="E26" s="148" t="s">
        <v>68</v>
      </c>
      <c r="F26" s="148"/>
      <c r="G26" s="143"/>
      <c r="H26" s="137">
        <v>2353031.4700000002</v>
      </c>
      <c r="I26" s="136">
        <v>96256.162180000014</v>
      </c>
      <c r="J26" s="139">
        <v>129073.12845999999</v>
      </c>
      <c r="K26" s="140">
        <v>226718.81278000001</v>
      </c>
      <c r="L26" s="140">
        <v>264484.19075999997</v>
      </c>
      <c r="M26" s="140">
        <v>157561.25753</v>
      </c>
      <c r="N26" s="140">
        <v>279991.56835000002</v>
      </c>
      <c r="O26" s="140">
        <v>214142.49699000001</v>
      </c>
      <c r="P26" s="140">
        <v>216394.44462999998</v>
      </c>
      <c r="Q26" s="140">
        <v>199917.46669</v>
      </c>
      <c r="R26" s="140">
        <v>103876.80607999999</v>
      </c>
      <c r="S26" s="140">
        <v>158665.07469000001</v>
      </c>
      <c r="T26" s="140">
        <v>269211.61077999999</v>
      </c>
      <c r="U26" s="138">
        <f>SUM(I26:T26)</f>
        <v>2316293.0199199999</v>
      </c>
      <c r="V26" s="139"/>
      <c r="W26" s="139"/>
      <c r="X26" s="139"/>
      <c r="Y26" s="135"/>
    </row>
    <row r="27" spans="1:25" ht="12.75" x14ac:dyDescent="0.2">
      <c r="A27" s="113"/>
      <c r="B27" s="108"/>
      <c r="C27" s="692" t="s">
        <v>69</v>
      </c>
      <c r="D27" s="692"/>
      <c r="E27" s="692"/>
      <c r="F27" s="692"/>
      <c r="G27" s="693"/>
      <c r="H27" s="137"/>
      <c r="I27" s="136"/>
      <c r="J27" s="139"/>
      <c r="K27" s="140"/>
      <c r="L27" s="140"/>
      <c r="M27" s="140"/>
      <c r="N27" s="140"/>
      <c r="O27" s="140"/>
      <c r="P27" s="140"/>
      <c r="Q27" s="140"/>
      <c r="R27" s="140"/>
      <c r="S27" s="140"/>
      <c r="T27" s="140"/>
      <c r="U27" s="138"/>
      <c r="V27" s="139"/>
      <c r="W27" s="139"/>
      <c r="X27" s="139"/>
      <c r="Y27" s="135"/>
    </row>
    <row r="28" spans="1:25" ht="12.75" customHeight="1" x14ac:dyDescent="0.2">
      <c r="A28" s="113"/>
      <c r="B28" s="108"/>
      <c r="C28" s="108"/>
      <c r="D28" s="108"/>
      <c r="E28" s="148" t="s">
        <v>70</v>
      </c>
      <c r="F28" s="148"/>
      <c r="G28" s="143"/>
      <c r="H28" s="137">
        <v>5604105.8959999997</v>
      </c>
      <c r="I28" s="136">
        <v>724379.24122000008</v>
      </c>
      <c r="J28" s="139">
        <v>440553.43148000003</v>
      </c>
      <c r="K28" s="140">
        <v>479629.67985000001</v>
      </c>
      <c r="L28" s="140">
        <v>467319.17436</v>
      </c>
      <c r="M28" s="140">
        <v>440190.07876999996</v>
      </c>
      <c r="N28" s="140">
        <v>337034.30754000001</v>
      </c>
      <c r="O28" s="140">
        <v>355660.93687999999</v>
      </c>
      <c r="P28" s="140">
        <v>414652.91749000002</v>
      </c>
      <c r="Q28" s="140">
        <v>479060.93511999998</v>
      </c>
      <c r="R28" s="140">
        <v>415607.07444</v>
      </c>
      <c r="S28" s="140">
        <v>444578.54732999997</v>
      </c>
      <c r="T28" s="140">
        <v>423608.56547000003</v>
      </c>
      <c r="U28" s="138">
        <f>SUM(I28:T28)</f>
        <v>5422274.8899499988</v>
      </c>
      <c r="V28" s="139"/>
      <c r="W28" s="139"/>
      <c r="X28" s="139"/>
      <c r="Y28" s="135"/>
    </row>
    <row r="29" spans="1:25" ht="12.75" customHeight="1" x14ac:dyDescent="0.2">
      <c r="A29" s="113"/>
      <c r="B29" s="108"/>
      <c r="C29" s="108"/>
      <c r="D29" s="108"/>
      <c r="E29" s="148" t="s">
        <v>71</v>
      </c>
      <c r="F29" s="148"/>
      <c r="G29" s="143"/>
      <c r="H29" s="137">
        <v>6929579.1210000003</v>
      </c>
      <c r="I29" s="136">
        <v>77805.030809999997</v>
      </c>
      <c r="J29" s="139">
        <v>383826.96955000004</v>
      </c>
      <c r="K29" s="140">
        <v>469520.89697</v>
      </c>
      <c r="L29" s="140">
        <v>533524.29497000005</v>
      </c>
      <c r="M29" s="140">
        <v>600240.43839000002</v>
      </c>
      <c r="N29" s="140">
        <v>739742.91035999998</v>
      </c>
      <c r="O29" s="140">
        <v>862691.9490599999</v>
      </c>
      <c r="P29" s="140">
        <v>942269.58227000001</v>
      </c>
      <c r="Q29" s="140">
        <v>512859.81374999997</v>
      </c>
      <c r="R29" s="140">
        <v>710191.47398000001</v>
      </c>
      <c r="S29" s="140">
        <v>823603.80787999998</v>
      </c>
      <c r="T29" s="140">
        <v>949769.75390000001</v>
      </c>
      <c r="U29" s="138">
        <f>SUM(I29:T29)</f>
        <v>7606046.9218899999</v>
      </c>
      <c r="V29" s="139"/>
      <c r="W29" s="139"/>
      <c r="X29" s="139"/>
      <c r="Y29" s="135"/>
    </row>
    <row r="30" spans="1:25" ht="12.75" customHeight="1" x14ac:dyDescent="0.2">
      <c r="A30" s="113"/>
      <c r="B30" s="114" t="s">
        <v>72</v>
      </c>
      <c r="C30" s="129"/>
      <c r="D30" s="108"/>
      <c r="E30" s="148"/>
      <c r="F30" s="148"/>
      <c r="G30" s="143"/>
      <c r="H30" s="144">
        <f t="shared" ref="H30:N30" si="4">H31+H35+H37+H46+H47+H48+H54+H55+H56+H57+H58+H59+H60+H63+H61</f>
        <v>440888044.99699998</v>
      </c>
      <c r="I30" s="150">
        <f t="shared" si="4"/>
        <v>28356908.747899994</v>
      </c>
      <c r="J30" s="150">
        <f t="shared" si="4"/>
        <v>20250969.917430002</v>
      </c>
      <c r="K30" s="144">
        <f t="shared" si="4"/>
        <v>20828640.803550001</v>
      </c>
      <c r="L30" s="144">
        <f t="shared" si="4"/>
        <v>32016682.791159999</v>
      </c>
      <c r="M30" s="144">
        <f t="shared" si="4"/>
        <v>38058942.388289988</v>
      </c>
      <c r="N30" s="144">
        <f t="shared" si="4"/>
        <v>42513455.054179981</v>
      </c>
      <c r="O30" s="144">
        <f>O31+O35+O37+O46+O47+O48+O54+O55+O56+O57+O58+O59+O60+O63+O61</f>
        <v>47983958.66038999</v>
      </c>
      <c r="P30" s="144">
        <f t="shared" ref="P30:U30" si="5">P31+P35+P37+P46+P47+P48+P54+P55+P56+P57+P58+P59+P60+P63+P61</f>
        <v>47171696.52651</v>
      </c>
      <c r="Q30" s="144">
        <f t="shared" si="5"/>
        <v>42848327.083300009</v>
      </c>
      <c r="R30" s="144">
        <f t="shared" si="5"/>
        <v>46036676.935669996</v>
      </c>
      <c r="S30" s="144">
        <f t="shared" si="5"/>
        <v>32940482.602229998</v>
      </c>
      <c r="T30" s="144">
        <f t="shared" si="5"/>
        <v>56813270.689839996</v>
      </c>
      <c r="U30" s="151">
        <f t="shared" si="5"/>
        <v>455820012.20044982</v>
      </c>
      <c r="V30" s="145"/>
      <c r="W30" s="145"/>
      <c r="X30" s="145"/>
      <c r="Y30" s="135"/>
    </row>
    <row r="31" spans="1:25" s="135" customFormat="1" ht="12.75" customHeight="1" x14ac:dyDescent="0.2">
      <c r="A31" s="141"/>
      <c r="B31" s="108"/>
      <c r="C31" s="148" t="s">
        <v>73</v>
      </c>
      <c r="D31" s="108"/>
      <c r="E31" s="108"/>
      <c r="F31" s="152"/>
      <c r="G31" s="153"/>
      <c r="H31" s="137">
        <f>+H32+H33+H34</f>
        <v>324554195.56099999</v>
      </c>
      <c r="I31" s="136">
        <f>+I32+I33+I34</f>
        <v>18776740.935239997</v>
      </c>
      <c r="J31" s="139">
        <f t="shared" ref="J31:P31" si="6">+J32+J33+J34</f>
        <v>16236146.551860001</v>
      </c>
      <c r="K31" s="137">
        <f t="shared" si="6"/>
        <v>17497398.209230002</v>
      </c>
      <c r="L31" s="140">
        <f t="shared" si="6"/>
        <v>24156555.682999998</v>
      </c>
      <c r="M31" s="140">
        <f t="shared" si="6"/>
        <v>28925326.47027</v>
      </c>
      <c r="N31" s="140">
        <f t="shared" si="6"/>
        <v>30839146.360589996</v>
      </c>
      <c r="O31" s="140">
        <f t="shared" si="6"/>
        <v>31852786.621889997</v>
      </c>
      <c r="P31" s="140">
        <f t="shared" si="6"/>
        <v>34287156.751970001</v>
      </c>
      <c r="Q31" s="140">
        <f>+Q32+Q33+Q34</f>
        <v>30755912.496950008</v>
      </c>
      <c r="R31" s="140">
        <f>+R32+R33+R34</f>
        <v>33003863.607320003</v>
      </c>
      <c r="S31" s="140">
        <f t="shared" ref="S31:T31" si="7">+S32+S33+S34</f>
        <v>22894050.530599996</v>
      </c>
      <c r="T31" s="140">
        <f t="shared" si="7"/>
        <v>41958473.709069997</v>
      </c>
      <c r="U31" s="138">
        <f>+U32+U33+U34</f>
        <v>331183557.92798984</v>
      </c>
      <c r="V31" s="139"/>
      <c r="W31" s="139"/>
      <c r="X31" s="139"/>
    </row>
    <row r="32" spans="1:25" s="135" customFormat="1" ht="12.75" customHeight="1" x14ac:dyDescent="0.2">
      <c r="A32" s="141"/>
      <c r="B32" s="130"/>
      <c r="C32" s="154"/>
      <c r="D32" s="108"/>
      <c r="E32" s="155" t="s">
        <v>74</v>
      </c>
      <c r="F32" s="152"/>
      <c r="G32" s="143"/>
      <c r="H32" s="137">
        <v>390430459.00099999</v>
      </c>
      <c r="I32" s="136">
        <v>30729928.097920001</v>
      </c>
      <c r="J32" s="139">
        <v>23628213.569529999</v>
      </c>
      <c r="K32" s="140">
        <v>26987147.829450004</v>
      </c>
      <c r="L32" s="140">
        <v>33184655.828279998</v>
      </c>
      <c r="M32" s="140">
        <v>32688282.992089998</v>
      </c>
      <c r="N32" s="140">
        <v>34824457.563249998</v>
      </c>
      <c r="O32" s="140">
        <v>34283804.861469999</v>
      </c>
      <c r="P32" s="140">
        <v>35701045.356770001</v>
      </c>
      <c r="Q32" s="140">
        <v>35625227.583170004</v>
      </c>
      <c r="R32" s="140">
        <v>38701466.623580001</v>
      </c>
      <c r="S32" s="140">
        <v>31059621.172959998</v>
      </c>
      <c r="T32" s="140">
        <v>35521938.393440001</v>
      </c>
      <c r="U32" s="138">
        <f>SUM(I32:T32)</f>
        <v>392935789.87190998</v>
      </c>
      <c r="V32" s="139"/>
      <c r="W32" s="139"/>
      <c r="X32" s="139"/>
    </row>
    <row r="33" spans="1:25" s="135" customFormat="1" ht="12.75" customHeight="1" x14ac:dyDescent="0.2">
      <c r="A33" s="141"/>
      <c r="B33" s="130"/>
      <c r="C33" s="154"/>
      <c r="D33" s="108"/>
      <c r="E33" s="155" t="s">
        <v>75</v>
      </c>
      <c r="F33" s="152"/>
      <c r="G33" s="143"/>
      <c r="H33" s="137">
        <v>154293573.77699998</v>
      </c>
      <c r="I33" s="136">
        <v>3529370.3886099998</v>
      </c>
      <c r="J33" s="139">
        <v>11130423.847820001</v>
      </c>
      <c r="K33" s="140">
        <v>11682969.60579</v>
      </c>
      <c r="L33" s="140">
        <v>11388901.296339998</v>
      </c>
      <c r="M33" s="140">
        <v>12281816.734439999</v>
      </c>
      <c r="N33" s="140">
        <v>14412080.88515</v>
      </c>
      <c r="O33" s="140">
        <v>15675191.26237</v>
      </c>
      <c r="P33" s="140">
        <v>16503013.676609999</v>
      </c>
      <c r="Q33" s="140">
        <v>15860667.49006</v>
      </c>
      <c r="R33" s="140">
        <v>12542005.088149998</v>
      </c>
      <c r="S33" s="140">
        <v>14870118.09299</v>
      </c>
      <c r="T33" s="140">
        <v>26564623.987919997</v>
      </c>
      <c r="U33" s="138">
        <f>SUM(I33:T33)</f>
        <v>166441182.35624999</v>
      </c>
      <c r="V33" s="139"/>
      <c r="W33" s="139"/>
      <c r="X33" s="139"/>
    </row>
    <row r="34" spans="1:25" s="135" customFormat="1" ht="12.75" customHeight="1" x14ac:dyDescent="0.2">
      <c r="A34" s="141"/>
      <c r="B34" s="130"/>
      <c r="C34" s="154"/>
      <c r="D34" s="108"/>
      <c r="E34" s="155" t="s">
        <v>76</v>
      </c>
      <c r="F34" s="152"/>
      <c r="G34" s="153"/>
      <c r="H34" s="137">
        <v>-220169837.21700001</v>
      </c>
      <c r="I34" s="136">
        <v>-15482557.551290002</v>
      </c>
      <c r="J34" s="139">
        <v>-18522490.865490001</v>
      </c>
      <c r="K34" s="140">
        <v>-21172719.226009998</v>
      </c>
      <c r="L34" s="140">
        <v>-20417001.44162</v>
      </c>
      <c r="M34" s="140">
        <v>-16044773.25626</v>
      </c>
      <c r="N34" s="140">
        <v>-18397392.087810002</v>
      </c>
      <c r="O34" s="140">
        <v>-18106209.501949999</v>
      </c>
      <c r="P34" s="140">
        <v>-17916902.281410001</v>
      </c>
      <c r="Q34" s="140">
        <v>-20729982.576279998</v>
      </c>
      <c r="R34" s="140">
        <v>-18239608.10441</v>
      </c>
      <c r="S34" s="140">
        <v>-23035688.735349998</v>
      </c>
      <c r="T34" s="140">
        <v>-20128088.672290001</v>
      </c>
      <c r="U34" s="138">
        <f>SUM(I34:T34)</f>
        <v>-228193414.30017003</v>
      </c>
      <c r="V34" s="139"/>
      <c r="W34" s="139"/>
      <c r="X34" s="139"/>
    </row>
    <row r="35" spans="1:25" s="135" customFormat="1" ht="12.75" customHeight="1" x14ac:dyDescent="0.2">
      <c r="A35" s="141"/>
      <c r="B35" s="108"/>
      <c r="C35" s="148" t="s">
        <v>77</v>
      </c>
      <c r="D35" s="148"/>
      <c r="E35" s="148"/>
      <c r="F35" s="148"/>
      <c r="G35" s="143"/>
      <c r="H35" s="137">
        <v>2095.8429999999998</v>
      </c>
      <c r="I35" s="136">
        <v>92.286479999999997</v>
      </c>
      <c r="J35" s="139">
        <v>357.09545000000003</v>
      </c>
      <c r="K35" s="140">
        <v>176.53769</v>
      </c>
      <c r="L35" s="140">
        <v>68.885259999999988</v>
      </c>
      <c r="M35" s="140">
        <v>1661.1098300000001</v>
      </c>
      <c r="N35" s="140">
        <v>794.15470999999991</v>
      </c>
      <c r="O35" s="140">
        <v>362.46553</v>
      </c>
      <c r="P35" s="140">
        <v>214.13531</v>
      </c>
      <c r="Q35" s="140">
        <v>48.535129999999995</v>
      </c>
      <c r="R35" s="140">
        <v>343.37419</v>
      </c>
      <c r="S35" s="140">
        <v>4135.28042</v>
      </c>
      <c r="T35" s="140">
        <v>258.69558999999998</v>
      </c>
      <c r="U35" s="138">
        <f>SUM(I35:T35)</f>
        <v>8512.5555899999999</v>
      </c>
      <c r="V35" s="139"/>
      <c r="W35" s="139"/>
      <c r="X35" s="139"/>
    </row>
    <row r="36" spans="1:25" s="135" customFormat="1" ht="12.75" customHeight="1" x14ac:dyDescent="0.2">
      <c r="A36" s="141"/>
      <c r="B36" s="108"/>
      <c r="C36" s="148"/>
      <c r="D36" s="148"/>
      <c r="E36" s="148"/>
      <c r="F36" s="148"/>
      <c r="G36" s="143"/>
      <c r="H36" s="137"/>
      <c r="I36" s="136"/>
      <c r="J36" s="139"/>
      <c r="K36" s="140"/>
      <c r="L36" s="140"/>
      <c r="M36" s="140"/>
      <c r="N36" s="140"/>
      <c r="O36" s="140"/>
      <c r="P36" s="140"/>
      <c r="Q36" s="140"/>
      <c r="R36" s="140"/>
      <c r="S36" s="140"/>
      <c r="T36" s="140"/>
      <c r="U36" s="138"/>
      <c r="V36" s="139"/>
      <c r="W36" s="139"/>
      <c r="X36" s="139"/>
    </row>
    <row r="37" spans="1:25" ht="12.75" x14ac:dyDescent="0.2">
      <c r="A37" s="113"/>
      <c r="B37" s="108"/>
      <c r="C37" s="108" t="s">
        <v>78</v>
      </c>
      <c r="D37" s="108"/>
      <c r="E37" s="148"/>
      <c r="F37" s="148"/>
      <c r="G37" s="143"/>
      <c r="H37" s="156">
        <f>SUM(H38:H45)</f>
        <v>24694429.373999998</v>
      </c>
      <c r="I37" s="157">
        <f>SUM(I38:I45)</f>
        <v>1991407.8530100002</v>
      </c>
      <c r="J37" s="158">
        <f t="shared" ref="J37:T37" si="8">SUM(J38:J45)</f>
        <v>-332200.97429000004</v>
      </c>
      <c r="K37" s="159">
        <f t="shared" si="8"/>
        <v>563077.92375999992</v>
      </c>
      <c r="L37" s="159">
        <f t="shared" si="8"/>
        <v>1709727.8021600002</v>
      </c>
      <c r="M37" s="159">
        <f t="shared" si="8"/>
        <v>1373222.0260700001</v>
      </c>
      <c r="N37" s="159">
        <f t="shared" si="8"/>
        <v>1001956.2987799998</v>
      </c>
      <c r="O37" s="159">
        <f t="shared" si="8"/>
        <v>4188024.3445699997</v>
      </c>
      <c r="P37" s="159">
        <f t="shared" si="8"/>
        <v>4932372.628010001</v>
      </c>
      <c r="Q37" s="159">
        <f t="shared" si="8"/>
        <v>4034578.5773399994</v>
      </c>
      <c r="R37" s="159">
        <f t="shared" si="8"/>
        <v>3180587.28265</v>
      </c>
      <c r="S37" s="159">
        <f t="shared" si="8"/>
        <v>2288213.9702000003</v>
      </c>
      <c r="T37" s="159">
        <f t="shared" si="8"/>
        <v>7634614.1156699993</v>
      </c>
      <c r="U37" s="160">
        <f t="shared" ref="U37:U48" si="9">SUM(I37:T37)</f>
        <v>32565581.847930003</v>
      </c>
      <c r="V37" s="139"/>
      <c r="W37" s="139"/>
      <c r="X37" s="139"/>
      <c r="Y37" s="135"/>
    </row>
    <row r="38" spans="1:25" ht="12.75" customHeight="1" x14ac:dyDescent="0.2">
      <c r="A38" s="113"/>
      <c r="B38" s="108"/>
      <c r="C38" s="108"/>
      <c r="D38" s="108"/>
      <c r="E38" s="148" t="s">
        <v>79</v>
      </c>
      <c r="F38" s="148"/>
      <c r="G38" s="143"/>
      <c r="H38" s="137">
        <v>8352402.909</v>
      </c>
      <c r="I38" s="136">
        <v>78054.261659999989</v>
      </c>
      <c r="J38" s="139">
        <v>392.34933000000001</v>
      </c>
      <c r="K38" s="140">
        <v>1985.5041799999999</v>
      </c>
      <c r="L38" s="140">
        <v>483523.78136999998</v>
      </c>
      <c r="M38" s="140">
        <v>732721.62242999999</v>
      </c>
      <c r="N38" s="140">
        <v>156914.30515999999</v>
      </c>
      <c r="O38" s="140">
        <v>1116954.7629800001</v>
      </c>
      <c r="P38" s="140">
        <v>2683153.8275700002</v>
      </c>
      <c r="Q38" s="140">
        <v>2254546.5369899999</v>
      </c>
      <c r="R38" s="140">
        <v>213222.35999</v>
      </c>
      <c r="S38" s="140">
        <v>37993.469700000001</v>
      </c>
      <c r="T38" s="140">
        <v>3259798.0531500001</v>
      </c>
      <c r="U38" s="138">
        <f t="shared" si="9"/>
        <v>11019260.83451</v>
      </c>
      <c r="V38" s="139"/>
      <c r="W38" s="139"/>
      <c r="X38" s="139"/>
      <c r="Y38" s="135"/>
    </row>
    <row r="39" spans="1:25" ht="12.75" customHeight="1" x14ac:dyDescent="0.2">
      <c r="A39" s="113"/>
      <c r="B39" s="108"/>
      <c r="C39" s="108"/>
      <c r="D39" s="108"/>
      <c r="E39" s="148" t="s">
        <v>80</v>
      </c>
      <c r="F39" s="148"/>
      <c r="G39" s="143"/>
      <c r="H39" s="137">
        <v>3229.71</v>
      </c>
      <c r="I39" s="136">
        <v>425.25809999999996</v>
      </c>
      <c r="J39" s="139">
        <v>224.7467</v>
      </c>
      <c r="K39" s="140">
        <v>5.7259999999999998E-2</v>
      </c>
      <c r="L39" s="140">
        <v>509.38524999999998</v>
      </c>
      <c r="M39" s="140">
        <v>128.83141000000001</v>
      </c>
      <c r="N39" s="140">
        <v>367.59075999999999</v>
      </c>
      <c r="O39" s="140">
        <v>413.69871999999998</v>
      </c>
      <c r="P39" s="140">
        <v>373.85462000000001</v>
      </c>
      <c r="Q39" s="140">
        <v>361.72765999999996</v>
      </c>
      <c r="R39" s="140">
        <v>326.33090999999996</v>
      </c>
      <c r="S39" s="140">
        <v>145.69001</v>
      </c>
      <c r="T39" s="140">
        <v>218.96567999999999</v>
      </c>
      <c r="U39" s="138">
        <f t="shared" si="9"/>
        <v>3496.13708</v>
      </c>
      <c r="V39" s="139"/>
      <c r="W39" s="139"/>
      <c r="X39" s="139"/>
      <c r="Y39" s="135"/>
    </row>
    <row r="40" spans="1:25" s="135" customFormat="1" ht="12.75" customHeight="1" x14ac:dyDescent="0.2">
      <c r="A40" s="141"/>
      <c r="B40" s="108"/>
      <c r="C40" s="108"/>
      <c r="D40" s="130"/>
      <c r="E40" s="148" t="s">
        <v>81</v>
      </c>
      <c r="F40" s="148"/>
      <c r="G40" s="143"/>
      <c r="H40" s="137">
        <v>2635704.0299999998</v>
      </c>
      <c r="I40" s="136">
        <v>59461.878259999998</v>
      </c>
      <c r="J40" s="139">
        <v>2032.2235900000001</v>
      </c>
      <c r="K40" s="140">
        <v>10311.17325</v>
      </c>
      <c r="L40" s="140">
        <v>139841.67874999999</v>
      </c>
      <c r="M40" s="140">
        <v>10883.90263</v>
      </c>
      <c r="N40" s="140">
        <v>60400.805850000004</v>
      </c>
      <c r="O40" s="140">
        <v>504205.09276999999</v>
      </c>
      <c r="P40" s="140">
        <v>463717.46691000002</v>
      </c>
      <c r="Q40" s="140">
        <v>605844.88520000002</v>
      </c>
      <c r="R40" s="140">
        <v>515556.80114999996</v>
      </c>
      <c r="S40" s="140">
        <v>606533.75141999999</v>
      </c>
      <c r="T40" s="140">
        <v>463555.64588999999</v>
      </c>
      <c r="U40" s="138">
        <f t="shared" si="9"/>
        <v>3442345.3056699997</v>
      </c>
      <c r="V40" s="139"/>
      <c r="W40" s="139"/>
      <c r="X40" s="139"/>
    </row>
    <row r="41" spans="1:25" ht="12.75" customHeight="1" x14ac:dyDescent="0.2">
      <c r="A41" s="113"/>
      <c r="B41" s="108"/>
      <c r="C41" s="108"/>
      <c r="D41" s="108"/>
      <c r="E41" s="148" t="s">
        <v>82</v>
      </c>
      <c r="F41" s="148"/>
      <c r="G41" s="143"/>
      <c r="H41" s="137">
        <v>5924483.3820000002</v>
      </c>
      <c r="I41" s="136">
        <v>452189.48809</v>
      </c>
      <c r="J41" s="139">
        <v>22998.270989999997</v>
      </c>
      <c r="K41" s="140">
        <v>530527.09701999999</v>
      </c>
      <c r="L41" s="140">
        <v>507927.39297000004</v>
      </c>
      <c r="M41" s="140">
        <v>299222.33916999999</v>
      </c>
      <c r="N41" s="140">
        <v>329870.84451999998</v>
      </c>
      <c r="O41" s="140">
        <v>742830.71201999998</v>
      </c>
      <c r="P41" s="140">
        <v>1143657.39182</v>
      </c>
      <c r="Q41" s="140">
        <v>633891.47451999993</v>
      </c>
      <c r="R41" s="140">
        <v>861471.52591999993</v>
      </c>
      <c r="S41" s="140">
        <v>303056.96141000005</v>
      </c>
      <c r="T41" s="140">
        <v>1813839.77085</v>
      </c>
      <c r="U41" s="138">
        <f t="shared" si="9"/>
        <v>7641483.2692999998</v>
      </c>
      <c r="V41" s="139"/>
      <c r="W41" s="139"/>
      <c r="X41" s="139"/>
      <c r="Y41" s="135"/>
    </row>
    <row r="42" spans="1:25" ht="12.75" customHeight="1" x14ac:dyDescent="0.2">
      <c r="A42" s="113"/>
      <c r="B42" s="108"/>
      <c r="C42" s="108"/>
      <c r="D42" s="108"/>
      <c r="E42" s="688" t="s">
        <v>83</v>
      </c>
      <c r="F42" s="688"/>
      <c r="G42" s="689"/>
      <c r="H42" s="137">
        <v>5779527.5779999997</v>
      </c>
      <c r="I42" s="136">
        <v>813649.3255700001</v>
      </c>
      <c r="J42" s="139">
        <v>4202.4741599999998</v>
      </c>
      <c r="K42" s="140">
        <v>2015.8130000000001</v>
      </c>
      <c r="L42" s="140">
        <v>67153.999580000003</v>
      </c>
      <c r="M42" s="140">
        <v>54639.81</v>
      </c>
      <c r="N42" s="140">
        <v>70572.898140000005</v>
      </c>
      <c r="O42" s="140">
        <v>1962986.4908</v>
      </c>
      <c r="P42" s="140">
        <v>526604.11269999994</v>
      </c>
      <c r="Q42" s="140">
        <v>454369.89654000005</v>
      </c>
      <c r="R42" s="140">
        <v>1159570.1090200001</v>
      </c>
      <c r="S42" s="140">
        <v>1238210.8468800001</v>
      </c>
      <c r="T42" s="140">
        <v>1182779.39824</v>
      </c>
      <c r="U42" s="138">
        <f t="shared" si="9"/>
        <v>7536755.1746300003</v>
      </c>
      <c r="V42" s="139"/>
      <c r="W42" s="139"/>
      <c r="X42" s="139"/>
      <c r="Y42" s="135"/>
    </row>
    <row r="43" spans="1:25" ht="12.75" customHeight="1" x14ac:dyDescent="0.2">
      <c r="A43" s="113"/>
      <c r="B43" s="108"/>
      <c r="C43" s="108"/>
      <c r="D43" s="108"/>
      <c r="E43" s="148" t="s">
        <v>84</v>
      </c>
      <c r="F43" s="154"/>
      <c r="G43" s="143"/>
      <c r="H43" s="137">
        <v>384753.14299999998</v>
      </c>
      <c r="I43" s="136">
        <v>122052.86167</v>
      </c>
      <c r="J43" s="139">
        <v>1675.7114099999999</v>
      </c>
      <c r="K43" s="140">
        <v>1833.711</v>
      </c>
      <c r="L43" s="140">
        <v>9587.91093</v>
      </c>
      <c r="M43" s="140">
        <v>11040.439970000001</v>
      </c>
      <c r="N43" s="140">
        <v>12029.512570000001</v>
      </c>
      <c r="O43" s="140">
        <v>88439.733699999997</v>
      </c>
      <c r="P43" s="140">
        <v>54735.244939999997</v>
      </c>
      <c r="Q43" s="140">
        <v>29323.613170000001</v>
      </c>
      <c r="R43" s="140">
        <v>41079.841799999995</v>
      </c>
      <c r="S43" s="140">
        <v>34892.274109999998</v>
      </c>
      <c r="T43" s="140">
        <v>31358.25274</v>
      </c>
      <c r="U43" s="138">
        <f t="shared" si="9"/>
        <v>438049.10801000003</v>
      </c>
      <c r="V43" s="139"/>
      <c r="W43" s="139"/>
      <c r="X43" s="139"/>
      <c r="Y43" s="135"/>
    </row>
    <row r="44" spans="1:25" ht="12.75" customHeight="1" x14ac:dyDescent="0.2">
      <c r="A44" s="113"/>
      <c r="B44" s="108"/>
      <c r="C44" s="108"/>
      <c r="D44" s="108"/>
      <c r="E44" s="148" t="s">
        <v>85</v>
      </c>
      <c r="F44" s="154"/>
      <c r="G44" s="143" t="s">
        <v>86</v>
      </c>
      <c r="H44" s="137">
        <v>595613.1</v>
      </c>
      <c r="I44" s="136">
        <v>463724.63547000004</v>
      </c>
      <c r="J44" s="139">
        <v>-363726.75047000003</v>
      </c>
      <c r="K44" s="140">
        <v>16404.568050000002</v>
      </c>
      <c r="L44" s="140">
        <v>38381.618490000001</v>
      </c>
      <c r="M44" s="140">
        <v>264585.08046000003</v>
      </c>
      <c r="N44" s="140">
        <v>354138.52256000001</v>
      </c>
      <c r="O44" s="140">
        <v>-387300.35839000001</v>
      </c>
      <c r="P44" s="140">
        <v>60130.729450000006</v>
      </c>
      <c r="Q44" s="140">
        <v>56240.44326</v>
      </c>
      <c r="R44" s="140">
        <v>60721.679179999999</v>
      </c>
      <c r="S44" s="140">
        <v>67380.976670000004</v>
      </c>
      <c r="T44" s="140">
        <v>349959.86277000001</v>
      </c>
      <c r="U44" s="138">
        <f t="shared" si="9"/>
        <v>980641.00749999995</v>
      </c>
      <c r="V44" s="139"/>
      <c r="W44" s="139"/>
      <c r="X44" s="139"/>
      <c r="Y44" s="135"/>
    </row>
    <row r="45" spans="1:25" ht="12.75" customHeight="1" x14ac:dyDescent="0.2">
      <c r="A45" s="113"/>
      <c r="B45" s="108"/>
      <c r="C45" s="108"/>
      <c r="D45" s="108"/>
      <c r="E45" s="692" t="s">
        <v>87</v>
      </c>
      <c r="F45" s="692"/>
      <c r="G45" s="143" t="s">
        <v>88</v>
      </c>
      <c r="H45" s="156">
        <v>1018715.522</v>
      </c>
      <c r="I45" s="157">
        <v>1850.14419</v>
      </c>
      <c r="J45" s="158">
        <v>0</v>
      </c>
      <c r="K45" s="159">
        <v>0</v>
      </c>
      <c r="L45" s="159">
        <v>462802.03482</v>
      </c>
      <c r="M45" s="159">
        <v>0</v>
      </c>
      <c r="N45" s="159">
        <v>17661.819219999998</v>
      </c>
      <c r="O45" s="159">
        <v>159494.21197</v>
      </c>
      <c r="P45" s="159">
        <v>0</v>
      </c>
      <c r="Q45" s="159">
        <v>0</v>
      </c>
      <c r="R45" s="159">
        <v>328638.63468000002</v>
      </c>
      <c r="S45" s="159">
        <v>0</v>
      </c>
      <c r="T45" s="159">
        <v>533104.16635000007</v>
      </c>
      <c r="U45" s="160">
        <f t="shared" si="9"/>
        <v>1503551.0112300003</v>
      </c>
      <c r="V45" s="139"/>
      <c r="W45" s="139"/>
      <c r="X45" s="139"/>
      <c r="Y45" s="135"/>
    </row>
    <row r="46" spans="1:25" ht="12.75" customHeight="1" x14ac:dyDescent="0.2">
      <c r="A46" s="113"/>
      <c r="B46" s="108"/>
      <c r="C46" s="108" t="s">
        <v>89</v>
      </c>
      <c r="D46" s="108"/>
      <c r="E46" s="108"/>
      <c r="F46" s="154"/>
      <c r="G46" s="143"/>
      <c r="H46" s="137">
        <v>3251533.0559999999</v>
      </c>
      <c r="I46" s="136">
        <v>822372.64898000006</v>
      </c>
      <c r="J46" s="139">
        <v>5065.5160199999991</v>
      </c>
      <c r="K46" s="140">
        <v>9728.25641</v>
      </c>
      <c r="L46" s="140">
        <v>414007.68244999996</v>
      </c>
      <c r="M46" s="140">
        <v>166.27601000000001</v>
      </c>
      <c r="N46" s="140">
        <v>1550.9545500000002</v>
      </c>
      <c r="O46" s="140">
        <v>895232.56822000002</v>
      </c>
      <c r="P46" s="140">
        <v>6643.6721600000001</v>
      </c>
      <c r="Q46" s="140">
        <v>-256.33217000000002</v>
      </c>
      <c r="R46" s="140">
        <v>1173280.79853</v>
      </c>
      <c r="S46" s="140">
        <v>28503.800850000003</v>
      </c>
      <c r="T46" s="140">
        <v>29273.29538</v>
      </c>
      <c r="U46" s="138">
        <f t="shared" si="9"/>
        <v>3385569.1373900007</v>
      </c>
      <c r="V46" s="139"/>
      <c r="W46" s="139"/>
      <c r="X46" s="139"/>
      <c r="Y46" s="135"/>
    </row>
    <row r="47" spans="1:25" ht="12.75" customHeight="1" x14ac:dyDescent="0.2">
      <c r="A47" s="113"/>
      <c r="B47" s="108"/>
      <c r="C47" s="108" t="s">
        <v>90</v>
      </c>
      <c r="D47" s="108"/>
      <c r="E47" s="108"/>
      <c r="F47" s="154"/>
      <c r="G47" s="143"/>
      <c r="H47" s="137">
        <v>1951789.5660000001</v>
      </c>
      <c r="I47" s="136">
        <v>185135.75828000001</v>
      </c>
      <c r="J47" s="139">
        <v>113348.94443999999</v>
      </c>
      <c r="K47" s="140">
        <v>109092.40106</v>
      </c>
      <c r="L47" s="140">
        <v>124980.42164</v>
      </c>
      <c r="M47" s="140">
        <v>134741.58343999999</v>
      </c>
      <c r="N47" s="140">
        <v>156124.90093</v>
      </c>
      <c r="O47" s="140">
        <v>188449.44688999999</v>
      </c>
      <c r="P47" s="140">
        <v>217916.20838999999</v>
      </c>
      <c r="Q47" s="140">
        <v>210652.12862</v>
      </c>
      <c r="R47" s="140">
        <v>234443.85879</v>
      </c>
      <c r="S47" s="140">
        <v>188847.60461000001</v>
      </c>
      <c r="T47" s="140">
        <v>182443.67478999999</v>
      </c>
      <c r="U47" s="138">
        <f t="shared" si="9"/>
        <v>2046176.93188</v>
      </c>
      <c r="V47" s="139"/>
      <c r="W47" s="139"/>
      <c r="X47" s="139"/>
      <c r="Y47" s="135"/>
    </row>
    <row r="48" spans="1:25" ht="12.75" customHeight="1" x14ac:dyDescent="0.2">
      <c r="A48" s="113"/>
      <c r="B48" s="108"/>
      <c r="C48" s="108" t="s">
        <v>91</v>
      </c>
      <c r="D48" s="108"/>
      <c r="E48" s="108"/>
      <c r="F48" s="154"/>
      <c r="G48" s="143"/>
      <c r="H48" s="137">
        <v>75235523.797999993</v>
      </c>
      <c r="I48" s="136">
        <v>5701916.3850499997</v>
      </c>
      <c r="J48" s="139">
        <v>3646380.0375699997</v>
      </c>
      <c r="K48" s="140">
        <v>1833329.8482299997</v>
      </c>
      <c r="L48" s="140">
        <v>4773113.7970500002</v>
      </c>
      <c r="M48" s="140">
        <v>6807650.8402999993</v>
      </c>
      <c r="N48" s="140">
        <v>9500649.9982699994</v>
      </c>
      <c r="O48" s="140">
        <v>9339581.0962899979</v>
      </c>
      <c r="P48" s="140">
        <v>6652096.6077399999</v>
      </c>
      <c r="Q48" s="140">
        <v>6796289.2272900008</v>
      </c>
      <c r="R48" s="140">
        <v>7428417.7116099996</v>
      </c>
      <c r="S48" s="140">
        <v>6735731.3626699997</v>
      </c>
      <c r="T48" s="140">
        <v>5963353.7422000002</v>
      </c>
      <c r="U48" s="138">
        <f t="shared" si="9"/>
        <v>75178510.654269993</v>
      </c>
      <c r="V48" s="139"/>
      <c r="W48" s="139"/>
      <c r="X48" s="139"/>
      <c r="Y48" s="135"/>
    </row>
    <row r="49" spans="1:25" ht="12.75" customHeight="1" x14ac:dyDescent="0.2">
      <c r="A49" s="113"/>
      <c r="B49" s="108"/>
      <c r="C49" s="108"/>
      <c r="D49" s="108"/>
      <c r="E49" s="161" t="s">
        <v>92</v>
      </c>
      <c r="F49" s="154"/>
      <c r="G49" s="143"/>
      <c r="H49" s="137"/>
      <c r="I49" s="136"/>
      <c r="J49" s="139"/>
      <c r="K49" s="140"/>
      <c r="L49" s="140"/>
      <c r="M49" s="140"/>
      <c r="N49" s="140"/>
      <c r="O49" s="140"/>
      <c r="P49" s="140"/>
      <c r="Q49" s="140"/>
      <c r="R49" s="140"/>
      <c r="S49" s="140"/>
      <c r="T49" s="140"/>
      <c r="U49" s="138"/>
      <c r="V49" s="139"/>
      <c r="W49" s="139"/>
      <c r="X49" s="139"/>
      <c r="Y49" s="135"/>
    </row>
    <row r="50" spans="1:25" s="135" customFormat="1" ht="12.75" customHeight="1" x14ac:dyDescent="0.2">
      <c r="A50" s="141"/>
      <c r="B50" s="130"/>
      <c r="D50" s="130"/>
      <c r="E50" s="135" t="s">
        <v>93</v>
      </c>
      <c r="F50" s="154"/>
      <c r="G50" s="143"/>
      <c r="H50" s="162">
        <f t="shared" ref="H50:T50" si="10">SUM(H51:H52)</f>
        <v>1567104.2280000001</v>
      </c>
      <c r="I50" s="115">
        <f t="shared" si="10"/>
        <v>121508.67478999999</v>
      </c>
      <c r="J50" s="139">
        <f t="shared" si="10"/>
        <v>84551.576229999991</v>
      </c>
      <c r="K50" s="140">
        <f t="shared" si="10"/>
        <v>46962.2958</v>
      </c>
      <c r="L50" s="162">
        <f t="shared" si="10"/>
        <v>104872.55524</v>
      </c>
      <c r="M50" s="163">
        <f t="shared" si="10"/>
        <v>151952.50563999999</v>
      </c>
      <c r="N50" s="163">
        <f t="shared" si="10"/>
        <v>168070.07587</v>
      </c>
      <c r="O50" s="163">
        <f t="shared" si="10"/>
        <v>189099.96143</v>
      </c>
      <c r="P50" s="163">
        <f t="shared" si="10"/>
        <v>141508.16481000002</v>
      </c>
      <c r="Q50" s="163">
        <f t="shared" si="10"/>
        <v>140257.82496999999</v>
      </c>
      <c r="R50" s="163">
        <f t="shared" si="10"/>
        <v>152619.83791</v>
      </c>
      <c r="S50" s="163">
        <f t="shared" si="10"/>
        <v>150297.44555999999</v>
      </c>
      <c r="T50" s="162">
        <f t="shared" si="10"/>
        <v>139171.77706999998</v>
      </c>
      <c r="U50" s="164">
        <f>SUM(U51:U52)</f>
        <v>1590872.6953200002</v>
      </c>
      <c r="V50" s="165"/>
      <c r="W50" s="165"/>
      <c r="X50" s="165"/>
    </row>
    <row r="51" spans="1:25" s="135" customFormat="1" ht="12.75" customHeight="1" x14ac:dyDescent="0.2">
      <c r="A51" s="141"/>
      <c r="B51" s="130"/>
      <c r="C51" s="130"/>
      <c r="D51" s="130"/>
      <c r="E51" s="166" t="s">
        <v>94</v>
      </c>
      <c r="F51" s="154"/>
      <c r="G51" s="143"/>
      <c r="H51" s="162">
        <v>1328215.699</v>
      </c>
      <c r="I51" s="115">
        <v>111705.54444</v>
      </c>
      <c r="J51" s="165">
        <v>75853.334739999991</v>
      </c>
      <c r="K51" s="163">
        <v>34498.877</v>
      </c>
      <c r="L51" s="163">
        <v>81014.502160000004</v>
      </c>
      <c r="M51" s="163">
        <v>119220.27217</v>
      </c>
      <c r="N51" s="163">
        <v>137393.81875000001</v>
      </c>
      <c r="O51" s="163">
        <v>164835.85774000001</v>
      </c>
      <c r="P51" s="163">
        <v>123043.38761000001</v>
      </c>
      <c r="Q51" s="163">
        <v>117831.72095999999</v>
      </c>
      <c r="R51" s="163">
        <v>123670.26723</v>
      </c>
      <c r="S51" s="163">
        <v>125539.62738999999</v>
      </c>
      <c r="T51" s="163">
        <v>109507.69985999999</v>
      </c>
      <c r="U51" s="164">
        <f>SUM(I51:T51)</f>
        <v>1324114.9100500001</v>
      </c>
      <c r="V51" s="165"/>
      <c r="W51" s="165"/>
      <c r="X51" s="165"/>
    </row>
    <row r="52" spans="1:25" s="135" customFormat="1" ht="12.75" customHeight="1" x14ac:dyDescent="0.2">
      <c r="A52" s="141"/>
      <c r="B52" s="130"/>
      <c r="C52" s="130"/>
      <c r="D52" s="130"/>
      <c r="E52" s="166" t="s">
        <v>95</v>
      </c>
      <c r="F52" s="154"/>
      <c r="G52" s="143"/>
      <c r="H52" s="167">
        <v>238888.52900000001</v>
      </c>
      <c r="I52" s="168">
        <v>9803.1303499999995</v>
      </c>
      <c r="J52" s="168">
        <v>8698.2414900000003</v>
      </c>
      <c r="K52" s="167">
        <v>12463.418800000001</v>
      </c>
      <c r="L52" s="167">
        <v>23858.053079999998</v>
      </c>
      <c r="M52" s="167">
        <v>32732.233469999999</v>
      </c>
      <c r="N52" s="167">
        <v>30676.257120000002</v>
      </c>
      <c r="O52" s="167">
        <v>24264.10369</v>
      </c>
      <c r="P52" s="167">
        <v>18464.7772</v>
      </c>
      <c r="Q52" s="167">
        <v>22426.104010000003</v>
      </c>
      <c r="R52" s="167">
        <v>28949.570680000001</v>
      </c>
      <c r="S52" s="167">
        <v>24757.818170000002</v>
      </c>
      <c r="T52" s="167">
        <v>29664.077209999999</v>
      </c>
      <c r="U52" s="169">
        <f>SUM(I52:T52)</f>
        <v>266757.78527000005</v>
      </c>
      <c r="V52" s="165"/>
      <c r="W52" s="165"/>
      <c r="X52" s="165"/>
    </row>
    <row r="53" spans="1:25" ht="12.75" customHeight="1" x14ac:dyDescent="0.2">
      <c r="A53" s="113"/>
      <c r="B53" s="108"/>
      <c r="C53" s="692" t="s">
        <v>96</v>
      </c>
      <c r="D53" s="692"/>
      <c r="E53" s="692"/>
      <c r="F53" s="692"/>
      <c r="G53" s="693"/>
      <c r="H53" s="137"/>
      <c r="I53" s="136"/>
      <c r="J53" s="139"/>
      <c r="K53" s="140"/>
      <c r="L53" s="140"/>
      <c r="M53" s="140"/>
      <c r="N53" s="140"/>
      <c r="O53" s="140"/>
      <c r="P53" s="140"/>
      <c r="Q53" s="140"/>
      <c r="R53" s="140"/>
      <c r="S53" s="140"/>
      <c r="T53" s="140"/>
      <c r="U53" s="138"/>
      <c r="V53" s="139"/>
      <c r="W53" s="139"/>
      <c r="X53" s="139"/>
      <c r="Y53" s="135"/>
    </row>
    <row r="54" spans="1:25" ht="12.75" customHeight="1" x14ac:dyDescent="0.2">
      <c r="A54" s="113"/>
      <c r="B54" s="108"/>
      <c r="C54" s="108"/>
      <c r="D54" s="108"/>
      <c r="E54" s="148" t="s">
        <v>97</v>
      </c>
      <c r="F54" s="148"/>
      <c r="G54" s="143"/>
      <c r="H54" s="137">
        <v>134432.489</v>
      </c>
      <c r="I54" s="136">
        <v>44499.3</v>
      </c>
      <c r="J54" s="139">
        <v>7339.5190000000002</v>
      </c>
      <c r="K54" s="140">
        <v>9838.8181100000002</v>
      </c>
      <c r="L54" s="140">
        <v>2593.24125</v>
      </c>
      <c r="M54" s="140">
        <v>2419.38679</v>
      </c>
      <c r="N54" s="140">
        <v>2911.0088799999999</v>
      </c>
      <c r="O54" s="140">
        <v>2404.6863699999999</v>
      </c>
      <c r="P54" s="140">
        <v>8588.8708299999998</v>
      </c>
      <c r="Q54" s="140">
        <v>11949.722390000001</v>
      </c>
      <c r="R54" s="140">
        <v>19352.721219999999</v>
      </c>
      <c r="S54" s="140">
        <v>16909.9611</v>
      </c>
      <c r="T54" s="140">
        <v>9657.6713900000013</v>
      </c>
      <c r="U54" s="138">
        <f t="shared" ref="U54:U63" si="11">SUM(I54:T54)</f>
        <v>138464.90732999999</v>
      </c>
      <c r="V54" s="139"/>
      <c r="W54" s="139"/>
      <c r="X54" s="139"/>
      <c r="Y54" s="135"/>
    </row>
    <row r="55" spans="1:25" ht="12.75" customHeight="1" x14ac:dyDescent="0.2">
      <c r="A55" s="113"/>
      <c r="B55" s="108"/>
      <c r="C55" s="108"/>
      <c r="D55" s="108"/>
      <c r="E55" s="148" t="s">
        <v>98</v>
      </c>
      <c r="F55" s="148"/>
      <c r="G55" s="143"/>
      <c r="H55" s="156">
        <v>537576.93500000006</v>
      </c>
      <c r="I55" s="157">
        <v>2102.3136199999999</v>
      </c>
      <c r="J55" s="158">
        <v>4279.8074500000002</v>
      </c>
      <c r="K55" s="159">
        <v>105062.09069</v>
      </c>
      <c r="L55" s="159">
        <v>1330.6143999999999</v>
      </c>
      <c r="M55" s="159">
        <v>1374.28125</v>
      </c>
      <c r="N55" s="159">
        <v>140826.21997999999</v>
      </c>
      <c r="O55" s="159">
        <v>1433.5246499999998</v>
      </c>
      <c r="P55" s="159">
        <v>1392.76125</v>
      </c>
      <c r="Q55" s="159">
        <v>178558.00097999998</v>
      </c>
      <c r="R55" s="159">
        <v>5178.6430599999994</v>
      </c>
      <c r="S55" s="159">
        <v>856.60511999999994</v>
      </c>
      <c r="T55" s="159">
        <v>137359.50640000001</v>
      </c>
      <c r="U55" s="160">
        <f t="shared" si="11"/>
        <v>579754.36884999997</v>
      </c>
      <c r="V55" s="139"/>
      <c r="W55" s="139"/>
      <c r="X55" s="139"/>
      <c r="Y55" s="135"/>
    </row>
    <row r="56" spans="1:25" ht="12.75" customHeight="1" x14ac:dyDescent="0.2">
      <c r="A56" s="113"/>
      <c r="B56" s="108"/>
      <c r="C56" s="108"/>
      <c r="D56" s="108"/>
      <c r="E56" s="148" t="s">
        <v>99</v>
      </c>
      <c r="F56" s="148"/>
      <c r="G56" s="143"/>
      <c r="H56" s="156">
        <v>7722882.9979999997</v>
      </c>
      <c r="I56" s="157">
        <v>663677.81744000001</v>
      </c>
      <c r="J56" s="158">
        <v>516013.16327999998</v>
      </c>
      <c r="K56" s="159">
        <v>630236.35684000002</v>
      </c>
      <c r="L56" s="159">
        <v>680668.51142</v>
      </c>
      <c r="M56" s="159">
        <v>707817.28547</v>
      </c>
      <c r="N56" s="159">
        <v>681945.63951999997</v>
      </c>
      <c r="O56" s="159">
        <v>658415.67720000003</v>
      </c>
      <c r="P56" s="159">
        <v>684664.91873999999</v>
      </c>
      <c r="Q56" s="159">
        <v>651100.69027000002</v>
      </c>
      <c r="R56" s="159">
        <v>638034.44986000005</v>
      </c>
      <c r="S56" s="159">
        <v>635521.85964000004</v>
      </c>
      <c r="T56" s="159">
        <v>591243.27278999996</v>
      </c>
      <c r="U56" s="160">
        <f t="shared" si="11"/>
        <v>7739339.6424699994</v>
      </c>
      <c r="V56" s="139"/>
      <c r="W56" s="139"/>
      <c r="X56" s="139"/>
      <c r="Y56" s="135"/>
    </row>
    <row r="57" spans="1:25" ht="12.75" customHeight="1" x14ac:dyDescent="0.2">
      <c r="A57" s="113"/>
      <c r="B57" s="108"/>
      <c r="C57" s="108"/>
      <c r="D57" s="108"/>
      <c r="E57" s="148" t="s">
        <v>100</v>
      </c>
      <c r="F57" s="148"/>
      <c r="G57" s="136"/>
      <c r="H57" s="156">
        <v>23464.901999999998</v>
      </c>
      <c r="I57" s="157">
        <v>4415.4679400000005</v>
      </c>
      <c r="J57" s="158">
        <v>4473.4460599999993</v>
      </c>
      <c r="K57" s="159">
        <v>904.2</v>
      </c>
      <c r="L57" s="159">
        <v>1248.08</v>
      </c>
      <c r="M57" s="159">
        <v>854.00599999999997</v>
      </c>
      <c r="N57" s="159">
        <v>1321.7719999999999</v>
      </c>
      <c r="O57" s="159">
        <v>1703.4860000000001</v>
      </c>
      <c r="P57" s="159">
        <v>1840.91419</v>
      </c>
      <c r="Q57" s="159">
        <v>1314.7673500000001</v>
      </c>
      <c r="R57" s="159">
        <v>1369.5740000000001</v>
      </c>
      <c r="S57" s="159">
        <v>1593.1959999999999</v>
      </c>
      <c r="T57" s="159">
        <v>3840.32</v>
      </c>
      <c r="U57" s="160">
        <f t="shared" si="11"/>
        <v>24879.229540000004</v>
      </c>
      <c r="V57" s="139"/>
      <c r="W57" s="139"/>
      <c r="X57" s="139"/>
      <c r="Y57" s="135"/>
    </row>
    <row r="58" spans="1:25" ht="12.75" customHeight="1" x14ac:dyDescent="0.3">
      <c r="A58" s="113"/>
      <c r="B58" s="108"/>
      <c r="C58" s="108"/>
      <c r="D58" s="108"/>
      <c r="E58" s="688" t="s">
        <v>101</v>
      </c>
      <c r="F58" s="688"/>
      <c r="G58" s="136"/>
      <c r="H58" s="156">
        <v>1369613.96</v>
      </c>
      <c r="I58" s="157">
        <v>102172.43</v>
      </c>
      <c r="J58" s="158">
        <v>25403.27</v>
      </c>
      <c r="K58" s="159">
        <v>44642.238840000005</v>
      </c>
      <c r="L58" s="159">
        <v>110784.27191</v>
      </c>
      <c r="M58" s="159">
        <v>67305.844060000003</v>
      </c>
      <c r="N58" s="159">
        <v>89155.548139999999</v>
      </c>
      <c r="O58" s="159">
        <v>218224.64413</v>
      </c>
      <c r="P58" s="159">
        <v>120660.51315</v>
      </c>
      <c r="Q58" s="159">
        <v>121271.72165000001</v>
      </c>
      <c r="R58" s="159">
        <v>254939.55093999999</v>
      </c>
      <c r="S58" s="159">
        <v>104746.33540000001</v>
      </c>
      <c r="T58" s="159">
        <v>209952.77987</v>
      </c>
      <c r="U58" s="160">
        <f t="shared" si="11"/>
        <v>1469259.1480899998</v>
      </c>
      <c r="V58" s="139"/>
      <c r="W58" s="139"/>
      <c r="X58" s="139"/>
      <c r="Y58" s="135"/>
    </row>
    <row r="59" spans="1:25" ht="12.75" customHeight="1" x14ac:dyDescent="0.2">
      <c r="A59" s="113"/>
      <c r="B59" s="108"/>
      <c r="C59" s="108"/>
      <c r="D59" s="108"/>
      <c r="E59" s="148" t="s">
        <v>102</v>
      </c>
      <c r="F59" s="108"/>
      <c r="G59" s="136"/>
      <c r="H59" s="156">
        <v>516131.848</v>
      </c>
      <c r="I59" s="157">
        <v>62375.55186</v>
      </c>
      <c r="J59" s="158">
        <v>22795.161649999998</v>
      </c>
      <c r="K59" s="159">
        <v>25146.591039999999</v>
      </c>
      <c r="L59" s="159">
        <v>41291.678500000002</v>
      </c>
      <c r="M59" s="159">
        <v>33732.366000000002</v>
      </c>
      <c r="N59" s="159">
        <v>32719.31825</v>
      </c>
      <c r="O59" s="159">
        <v>96670.641250000001</v>
      </c>
      <c r="P59" s="159">
        <v>39371.064850000002</v>
      </c>
      <c r="Q59" s="159">
        <v>43156.036039999999</v>
      </c>
      <c r="R59" s="159">
        <v>87442.435980000009</v>
      </c>
      <c r="S59" s="159">
        <v>40405.282279999999</v>
      </c>
      <c r="T59" s="159">
        <v>76417.987569999998</v>
      </c>
      <c r="U59" s="160">
        <f t="shared" si="11"/>
        <v>601524.11527000007</v>
      </c>
      <c r="V59" s="139"/>
      <c r="W59" s="139"/>
      <c r="X59" s="139"/>
      <c r="Y59" s="135"/>
    </row>
    <row r="60" spans="1:25" ht="12.75" customHeight="1" x14ac:dyDescent="0.2">
      <c r="A60" s="113"/>
      <c r="B60" s="108"/>
      <c r="C60" s="108"/>
      <c r="D60" s="108"/>
      <c r="E60" s="148" t="s">
        <v>103</v>
      </c>
      <c r="F60" s="148"/>
      <c r="G60" s="136"/>
      <c r="H60" s="156">
        <v>2871.8389999999999</v>
      </c>
      <c r="I60" s="157">
        <v>0</v>
      </c>
      <c r="J60" s="158">
        <v>0</v>
      </c>
      <c r="K60" s="159">
        <v>0</v>
      </c>
      <c r="L60" s="159">
        <v>0</v>
      </c>
      <c r="M60" s="159">
        <v>2670.9127999999996</v>
      </c>
      <c r="N60" s="159">
        <v>0</v>
      </c>
      <c r="O60" s="159">
        <v>0</v>
      </c>
      <c r="P60" s="159">
        <v>0</v>
      </c>
      <c r="Q60" s="159">
        <v>0</v>
      </c>
      <c r="R60" s="159">
        <v>0</v>
      </c>
      <c r="S60" s="159">
        <v>0</v>
      </c>
      <c r="T60" s="159">
        <v>0</v>
      </c>
      <c r="U60" s="160">
        <f t="shared" si="11"/>
        <v>2670.9127999999996</v>
      </c>
      <c r="V60" s="139"/>
      <c r="W60" s="139"/>
      <c r="X60" s="139"/>
      <c r="Y60" s="135"/>
    </row>
    <row r="61" spans="1:25" ht="12.75" customHeight="1" x14ac:dyDescent="0.2">
      <c r="A61" s="113"/>
      <c r="B61" s="108"/>
      <c r="C61" s="108"/>
      <c r="D61" s="108"/>
      <c r="E61" s="148" t="s">
        <v>104</v>
      </c>
      <c r="F61" s="148"/>
      <c r="G61" s="136"/>
      <c r="H61" s="156">
        <v>630035.14</v>
      </c>
      <c r="I61" s="157">
        <v>0</v>
      </c>
      <c r="J61" s="158">
        <v>0</v>
      </c>
      <c r="K61" s="159">
        <v>0</v>
      </c>
      <c r="L61" s="159">
        <v>0</v>
      </c>
      <c r="M61" s="159">
        <v>0</v>
      </c>
      <c r="N61" s="159">
        <v>0</v>
      </c>
      <c r="O61" s="159">
        <v>538036.03075000003</v>
      </c>
      <c r="P61" s="159">
        <v>44247.598060000004</v>
      </c>
      <c r="Q61" s="159">
        <v>43751.511460000002</v>
      </c>
      <c r="R61" s="159">
        <v>8230.962379999999</v>
      </c>
      <c r="S61" s="159">
        <v>592.07505000000003</v>
      </c>
      <c r="T61" s="159">
        <v>15515.59324</v>
      </c>
      <c r="U61" s="160">
        <f t="shared" si="11"/>
        <v>650373.77093999996</v>
      </c>
      <c r="V61" s="139"/>
      <c r="W61" s="139"/>
      <c r="X61" s="139"/>
      <c r="Y61" s="135"/>
    </row>
    <row r="62" spans="1:25" ht="12.75" customHeight="1" x14ac:dyDescent="0.2">
      <c r="A62" s="113"/>
      <c r="B62" s="108"/>
      <c r="C62" s="108" t="s">
        <v>60</v>
      </c>
      <c r="D62" s="108"/>
      <c r="E62" s="148"/>
      <c r="F62" s="148"/>
      <c r="G62" s="136"/>
      <c r="H62" s="137"/>
      <c r="I62" s="136"/>
      <c r="J62" s="139"/>
      <c r="K62" s="140"/>
      <c r="L62" s="140"/>
      <c r="M62" s="140"/>
      <c r="N62" s="159"/>
      <c r="O62" s="140"/>
      <c r="P62" s="140"/>
      <c r="Q62" s="140"/>
      <c r="R62" s="140"/>
      <c r="S62" s="140"/>
      <c r="T62" s="140"/>
      <c r="U62" s="138"/>
      <c r="V62" s="139"/>
      <c r="W62" s="139"/>
      <c r="X62" s="139"/>
      <c r="Y62" s="135"/>
    </row>
    <row r="63" spans="1:25" ht="12.75" customHeight="1" x14ac:dyDescent="0.2">
      <c r="A63" s="113"/>
      <c r="B63" s="108"/>
      <c r="C63" s="108"/>
      <c r="D63" s="108"/>
      <c r="E63" s="148" t="s">
        <v>105</v>
      </c>
      <c r="F63" s="148"/>
      <c r="G63" s="136"/>
      <c r="H63" s="137">
        <v>261467.68799999999</v>
      </c>
      <c r="I63" s="136">
        <v>0</v>
      </c>
      <c r="J63" s="139">
        <v>1568.3789400000001</v>
      </c>
      <c r="K63" s="140">
        <v>7.3316499999999998</v>
      </c>
      <c r="L63" s="140">
        <v>312.12212</v>
      </c>
      <c r="M63" s="140">
        <v>0</v>
      </c>
      <c r="N63" s="140">
        <v>64352.879580000001</v>
      </c>
      <c r="O63" s="140">
        <v>2633.4266499999999</v>
      </c>
      <c r="P63" s="140">
        <v>174529.88186000002</v>
      </c>
      <c r="Q63" s="140">
        <v>0</v>
      </c>
      <c r="R63" s="140">
        <v>1191.9651399999998</v>
      </c>
      <c r="S63" s="140">
        <v>374.73829000000001</v>
      </c>
      <c r="T63" s="140">
        <v>866.32587999999998</v>
      </c>
      <c r="U63" s="138">
        <f t="shared" si="11"/>
        <v>245837.05010999998</v>
      </c>
      <c r="V63" s="139"/>
      <c r="W63" s="139"/>
      <c r="X63" s="139"/>
      <c r="Y63" s="135"/>
    </row>
    <row r="64" spans="1:25" s="135" customFormat="1" ht="12.75" customHeight="1" x14ac:dyDescent="0.2">
      <c r="A64" s="170"/>
      <c r="B64" s="114" t="s">
        <v>106</v>
      </c>
      <c r="C64" s="129"/>
      <c r="D64" s="130"/>
      <c r="E64" s="142"/>
      <c r="F64" s="142"/>
      <c r="G64" s="143"/>
      <c r="H64" s="144">
        <f>SUM(H66:H71)</f>
        <v>45613300.660999998</v>
      </c>
      <c r="I64" s="144">
        <f>SUM(I66:I71)</f>
        <v>1871615.1225500002</v>
      </c>
      <c r="J64" s="145">
        <f t="shared" ref="J64:U64" si="12">SUM(J66:J71)</f>
        <v>2320662.0403300002</v>
      </c>
      <c r="K64" s="146">
        <f t="shared" si="12"/>
        <v>2271074.6917500002</v>
      </c>
      <c r="L64" s="146">
        <f t="shared" si="12"/>
        <v>4144629.2502699997</v>
      </c>
      <c r="M64" s="146">
        <f t="shared" si="12"/>
        <v>3545310.6683600005</v>
      </c>
      <c r="N64" s="146">
        <f t="shared" si="12"/>
        <v>4679104.9118300006</v>
      </c>
      <c r="O64" s="146">
        <f t="shared" si="12"/>
        <v>3673055.920810001</v>
      </c>
      <c r="P64" s="146">
        <f t="shared" si="12"/>
        <v>4599758.3712600004</v>
      </c>
      <c r="Q64" s="146">
        <f t="shared" si="12"/>
        <v>4782525.9269900005</v>
      </c>
      <c r="R64" s="146">
        <f t="shared" si="12"/>
        <v>4025182.71954</v>
      </c>
      <c r="S64" s="146">
        <f t="shared" si="12"/>
        <v>4403835.4299899992</v>
      </c>
      <c r="T64" s="146">
        <f t="shared" si="12"/>
        <v>7370483.4545000009</v>
      </c>
      <c r="U64" s="147">
        <f t="shared" si="12"/>
        <v>47687238.508179992</v>
      </c>
      <c r="V64" s="145"/>
      <c r="W64" s="145"/>
      <c r="X64" s="145"/>
    </row>
    <row r="65" spans="1:25" s="135" customFormat="1" ht="12.75" customHeight="1" x14ac:dyDescent="0.2">
      <c r="A65" s="170"/>
      <c r="B65" s="114"/>
      <c r="C65" s="108" t="s">
        <v>107</v>
      </c>
      <c r="D65" s="130"/>
      <c r="E65" s="142"/>
      <c r="F65" s="142"/>
      <c r="G65" s="143"/>
      <c r="H65" s="137"/>
      <c r="I65" s="136"/>
      <c r="J65" s="139"/>
      <c r="K65" s="140"/>
      <c r="L65" s="140"/>
      <c r="M65" s="140"/>
      <c r="N65" s="140"/>
      <c r="O65" s="140"/>
      <c r="P65" s="140"/>
      <c r="Q65" s="140"/>
      <c r="R65" s="140"/>
      <c r="S65" s="140"/>
      <c r="T65" s="140"/>
      <c r="U65" s="138"/>
      <c r="V65" s="139"/>
      <c r="W65" s="139"/>
      <c r="X65" s="139"/>
    </row>
    <row r="66" spans="1:25" s="135" customFormat="1" ht="12.75" customHeight="1" x14ac:dyDescent="0.2">
      <c r="A66" s="170"/>
      <c r="B66" s="108"/>
      <c r="C66" s="130"/>
      <c r="D66" s="130"/>
      <c r="E66" s="108" t="s">
        <v>108</v>
      </c>
      <c r="F66" s="148"/>
      <c r="G66" s="143"/>
      <c r="H66" s="137">
        <v>40352720.906999998</v>
      </c>
      <c r="I66" s="136">
        <v>1665132.71854</v>
      </c>
      <c r="J66" s="139">
        <v>2420101.5696100001</v>
      </c>
      <c r="K66" s="140">
        <v>2202305.6750099999</v>
      </c>
      <c r="L66" s="140">
        <v>3153901.05595</v>
      </c>
      <c r="M66" s="140">
        <v>3224111.7025500005</v>
      </c>
      <c r="N66" s="140">
        <v>3669787.9673300004</v>
      </c>
      <c r="O66" s="140">
        <v>4250000.1231500003</v>
      </c>
      <c r="P66" s="140">
        <v>4055185.3876100001</v>
      </c>
      <c r="Q66" s="140">
        <v>3722149.1899300003</v>
      </c>
      <c r="R66" s="140">
        <v>3456626.2320900001</v>
      </c>
      <c r="S66" s="140">
        <v>3653536.0827700002</v>
      </c>
      <c r="T66" s="140">
        <v>6364645.7910700003</v>
      </c>
      <c r="U66" s="138">
        <f>SUM(I66:T66)</f>
        <v>41837483.495609999</v>
      </c>
      <c r="V66" s="139"/>
      <c r="W66" s="139"/>
      <c r="X66" s="139"/>
    </row>
    <row r="67" spans="1:25" ht="12.75" customHeight="1" x14ac:dyDescent="0.2">
      <c r="A67" s="113"/>
      <c r="B67" s="108"/>
      <c r="C67" s="108"/>
      <c r="D67" s="108"/>
      <c r="E67" s="108" t="s">
        <v>109</v>
      </c>
      <c r="F67" s="148"/>
      <c r="G67" s="153"/>
      <c r="H67" s="156">
        <v>4865395.9720000001</v>
      </c>
      <c r="I67" s="157">
        <v>45206.048840000003</v>
      </c>
      <c r="J67" s="158">
        <v>17941.464689999997</v>
      </c>
      <c r="K67" s="159">
        <v>112788.36186000002</v>
      </c>
      <c r="L67" s="159">
        <v>389678.26277000003</v>
      </c>
      <c r="M67" s="159">
        <v>141351.30131000001</v>
      </c>
      <c r="N67" s="159">
        <v>670147.52271999989</v>
      </c>
      <c r="O67" s="159">
        <v>536426.24579000007</v>
      </c>
      <c r="P67" s="159">
        <v>532401.21225999994</v>
      </c>
      <c r="Q67" s="159">
        <v>829522.74057999998</v>
      </c>
      <c r="R67" s="159">
        <v>470248.47297</v>
      </c>
      <c r="S67" s="159">
        <v>735460.7540999999</v>
      </c>
      <c r="T67" s="159">
        <v>976015.06849000009</v>
      </c>
      <c r="U67" s="160">
        <f>SUM(I67:T67)</f>
        <v>5457187.4563800003</v>
      </c>
      <c r="V67" s="139"/>
      <c r="W67" s="139"/>
      <c r="X67" s="139"/>
      <c r="Y67" s="135"/>
    </row>
    <row r="68" spans="1:25" ht="12.75" customHeight="1" x14ac:dyDescent="0.2">
      <c r="A68" s="113"/>
      <c r="B68" s="108"/>
      <c r="C68" s="108" t="s">
        <v>110</v>
      </c>
      <c r="D68" s="108"/>
      <c r="E68" s="108"/>
      <c r="F68" s="108"/>
      <c r="G68" s="153"/>
      <c r="H68" s="156">
        <v>56113.610999999997</v>
      </c>
      <c r="I68" s="157">
        <v>2732.1754100000003</v>
      </c>
      <c r="J68" s="158">
        <v>6056.9970000000003</v>
      </c>
      <c r="K68" s="159">
        <v>6432.1417799999999</v>
      </c>
      <c r="L68" s="159">
        <v>4135.5707599999996</v>
      </c>
      <c r="M68" s="159">
        <v>3161.2752500000001</v>
      </c>
      <c r="N68" s="159">
        <v>3012.1276000000003</v>
      </c>
      <c r="O68" s="159">
        <v>4845.3901299999998</v>
      </c>
      <c r="P68" s="159">
        <v>6470.9197800000002</v>
      </c>
      <c r="Q68" s="159">
        <v>7885.82276</v>
      </c>
      <c r="R68" s="159">
        <v>4737.9110899999996</v>
      </c>
      <c r="S68" s="159">
        <v>6647.9258399999999</v>
      </c>
      <c r="T68" s="159">
        <v>11310.437400000001</v>
      </c>
      <c r="U68" s="160">
        <f>SUM(I68:T68)</f>
        <v>67428.694799999997</v>
      </c>
      <c r="V68" s="139"/>
      <c r="W68" s="139"/>
      <c r="X68" s="139"/>
      <c r="Y68" s="135"/>
    </row>
    <row r="69" spans="1:25" s="135" customFormat="1" ht="12.75" customHeight="1" x14ac:dyDescent="0.2">
      <c r="A69" s="170"/>
      <c r="B69" s="108"/>
      <c r="C69" s="108" t="s">
        <v>60</v>
      </c>
      <c r="D69" s="130"/>
      <c r="E69" s="108"/>
      <c r="F69" s="148"/>
      <c r="G69" s="143"/>
      <c r="H69" s="137"/>
      <c r="I69" s="136"/>
      <c r="J69" s="139"/>
      <c r="K69" s="140"/>
      <c r="L69" s="140"/>
      <c r="M69" s="140"/>
      <c r="N69" s="140"/>
      <c r="O69" s="140"/>
      <c r="P69" s="140"/>
      <c r="Q69" s="140"/>
      <c r="R69" s="140"/>
      <c r="S69" s="140"/>
      <c r="T69" s="140"/>
      <c r="U69" s="138"/>
      <c r="V69" s="139"/>
      <c r="W69" s="139"/>
      <c r="X69" s="139"/>
    </row>
    <row r="70" spans="1:25" ht="12.75" customHeight="1" x14ac:dyDescent="0.2">
      <c r="A70" s="113"/>
      <c r="B70" s="108"/>
      <c r="C70" s="108"/>
      <c r="D70" s="108"/>
      <c r="E70" s="108" t="s">
        <v>111</v>
      </c>
      <c r="F70" s="108"/>
      <c r="G70" s="143"/>
      <c r="H70" s="137">
        <v>284584.50300000003</v>
      </c>
      <c r="I70" s="136">
        <v>154705.31579000002</v>
      </c>
      <c r="J70" s="139">
        <v>-123637.29246999999</v>
      </c>
      <c r="K70" s="140">
        <v>-50451.486900000004</v>
      </c>
      <c r="L70" s="140">
        <v>596914.36078999995</v>
      </c>
      <c r="M70" s="140">
        <v>176686.38924999998</v>
      </c>
      <c r="N70" s="140">
        <v>315157.10374999995</v>
      </c>
      <c r="O70" s="140">
        <v>-1119145.52021</v>
      </c>
      <c r="P70" s="140">
        <v>5700.8516099999997</v>
      </c>
      <c r="Q70" s="140">
        <v>222968.17371999999</v>
      </c>
      <c r="R70" s="140">
        <v>90975.57789</v>
      </c>
      <c r="S70" s="140">
        <v>8186.7567700000009</v>
      </c>
      <c r="T70" s="140">
        <v>-3929.9218700000001</v>
      </c>
      <c r="U70" s="138">
        <f>SUM(I70:T70)</f>
        <v>274130.30811999983</v>
      </c>
      <c r="V70" s="139"/>
      <c r="W70" s="139"/>
      <c r="X70" s="139"/>
      <c r="Y70" s="135"/>
    </row>
    <row r="71" spans="1:25" ht="12.75" customHeight="1" x14ac:dyDescent="0.2">
      <c r="A71" s="113"/>
      <c r="B71" s="108"/>
      <c r="C71" s="108"/>
      <c r="D71" s="108"/>
      <c r="E71" s="108" t="s">
        <v>112</v>
      </c>
      <c r="F71" s="148"/>
      <c r="G71" s="143"/>
      <c r="H71" s="156">
        <v>54485.667999999998</v>
      </c>
      <c r="I71" s="157">
        <v>3838.8639700000003</v>
      </c>
      <c r="J71" s="157">
        <v>199.3015</v>
      </c>
      <c r="K71" s="156">
        <v>0</v>
      </c>
      <c r="L71" s="156">
        <v>0</v>
      </c>
      <c r="M71" s="156">
        <v>0</v>
      </c>
      <c r="N71" s="156">
        <v>21000.190429999999</v>
      </c>
      <c r="O71" s="156">
        <v>929.68194999999992</v>
      </c>
      <c r="P71" s="156">
        <v>0</v>
      </c>
      <c r="Q71" s="156">
        <v>0</v>
      </c>
      <c r="R71" s="156">
        <v>2594.5255000000002</v>
      </c>
      <c r="S71" s="156">
        <v>3.9105100000000004</v>
      </c>
      <c r="T71" s="156">
        <v>22442.079409999998</v>
      </c>
      <c r="U71" s="160">
        <f>SUM(I71:T71)</f>
        <v>51008.553269999997</v>
      </c>
      <c r="V71" s="139"/>
      <c r="W71" s="139"/>
      <c r="X71" s="139"/>
      <c r="Y71" s="135"/>
    </row>
    <row r="72" spans="1:25" s="135" customFormat="1" ht="12.75" customHeight="1" x14ac:dyDescent="0.2">
      <c r="A72" s="141"/>
      <c r="B72" s="114" t="s">
        <v>113</v>
      </c>
      <c r="C72" s="130"/>
      <c r="D72" s="130"/>
      <c r="E72" s="130"/>
      <c r="F72" s="130"/>
      <c r="G72" s="143"/>
      <c r="H72" s="144">
        <f>H73</f>
        <v>2.8860000000000001</v>
      </c>
      <c r="I72" s="144">
        <f>I73</f>
        <v>0</v>
      </c>
      <c r="J72" s="144">
        <f t="shared" ref="J72:T72" si="13">J73</f>
        <v>5.6426999999999996</v>
      </c>
      <c r="K72" s="150">
        <f t="shared" si="13"/>
        <v>-5.6426999999999996</v>
      </c>
      <c r="L72" s="150">
        <f t="shared" si="13"/>
        <v>6</v>
      </c>
      <c r="M72" s="150">
        <f t="shared" si="13"/>
        <v>0</v>
      </c>
      <c r="N72" s="150">
        <f t="shared" si="13"/>
        <v>0</v>
      </c>
      <c r="O72" s="150">
        <f t="shared" si="13"/>
        <v>0</v>
      </c>
      <c r="P72" s="150">
        <f t="shared" si="13"/>
        <v>0</v>
      </c>
      <c r="Q72" s="150">
        <f t="shared" si="13"/>
        <v>0</v>
      </c>
      <c r="R72" s="150">
        <f t="shared" si="13"/>
        <v>0</v>
      </c>
      <c r="S72" s="150">
        <f t="shared" si="13"/>
        <v>0</v>
      </c>
      <c r="T72" s="150">
        <f t="shared" si="13"/>
        <v>-6</v>
      </c>
      <c r="U72" s="147">
        <f>U73</f>
        <v>0</v>
      </c>
      <c r="V72" s="145"/>
      <c r="W72" s="145"/>
      <c r="X72" s="145"/>
    </row>
    <row r="73" spans="1:25" ht="12.75" customHeight="1" x14ac:dyDescent="0.2">
      <c r="A73" s="113"/>
      <c r="B73" s="108"/>
      <c r="C73" s="108" t="s">
        <v>114</v>
      </c>
      <c r="D73" s="108"/>
      <c r="E73" s="108"/>
      <c r="F73" s="108"/>
      <c r="G73" s="143"/>
      <c r="H73" s="137">
        <v>2.8860000000000001</v>
      </c>
      <c r="I73" s="136">
        <v>0</v>
      </c>
      <c r="J73" s="136">
        <v>5.6426999999999996</v>
      </c>
      <c r="K73" s="137">
        <v>-5.6426999999999996</v>
      </c>
      <c r="L73" s="137">
        <v>6</v>
      </c>
      <c r="M73" s="137">
        <v>0</v>
      </c>
      <c r="N73" s="156">
        <v>0</v>
      </c>
      <c r="O73" s="137">
        <v>0</v>
      </c>
      <c r="P73" s="137">
        <v>0</v>
      </c>
      <c r="Q73" s="137">
        <v>0</v>
      </c>
      <c r="R73" s="137">
        <v>0</v>
      </c>
      <c r="S73" s="137">
        <v>0</v>
      </c>
      <c r="T73" s="137">
        <v>-6</v>
      </c>
      <c r="U73" s="138">
        <f>SUM(I73:T73)</f>
        <v>0</v>
      </c>
      <c r="V73" s="139"/>
      <c r="W73" s="139"/>
      <c r="X73" s="139"/>
      <c r="Y73" s="135"/>
    </row>
    <row r="74" spans="1:25" s="175" customFormat="1" ht="12.75" customHeight="1" x14ac:dyDescent="0.2">
      <c r="A74" s="171"/>
      <c r="B74" s="114" t="s">
        <v>115</v>
      </c>
      <c r="C74" s="114"/>
      <c r="D74" s="114"/>
      <c r="E74" s="114"/>
      <c r="F74" s="114"/>
      <c r="G74" s="143" t="s">
        <v>116</v>
      </c>
      <c r="H74" s="172">
        <v>0</v>
      </c>
      <c r="I74" s="173">
        <v>1589.6722299999999</v>
      </c>
      <c r="J74" s="173">
        <v>1710.54529</v>
      </c>
      <c r="K74" s="172">
        <v>-1543.4717700000001</v>
      </c>
      <c r="L74" s="172">
        <f>433.43953-1757+1751</f>
        <v>427.4395300000001</v>
      </c>
      <c r="M74" s="172">
        <v>-404.95042000000001</v>
      </c>
      <c r="N74" s="172">
        <f>-164.26857+1779-1779</f>
        <v>-164.26856999999995</v>
      </c>
      <c r="O74" s="172">
        <v>-1557.87327</v>
      </c>
      <c r="P74" s="172">
        <v>1522.07395</v>
      </c>
      <c r="Q74" s="172">
        <v>-23.449120000000001</v>
      </c>
      <c r="R74" s="172">
        <v>28.224740000000001</v>
      </c>
      <c r="S74" s="172">
        <v>-110.1486</v>
      </c>
      <c r="T74" s="172">
        <v>10120.64148</v>
      </c>
      <c r="U74" s="174">
        <f>SUM(I74:T74)</f>
        <v>11594.43547</v>
      </c>
      <c r="V74" s="145"/>
      <c r="W74" s="145"/>
      <c r="X74" s="145"/>
      <c r="Y74" s="135"/>
    </row>
    <row r="75" spans="1:25" ht="12.75" customHeight="1" x14ac:dyDescent="0.2">
      <c r="A75" s="176"/>
      <c r="B75" s="177" t="s">
        <v>117</v>
      </c>
      <c r="C75" s="178"/>
      <c r="D75" s="178"/>
      <c r="E75" s="178"/>
      <c r="F75" s="178"/>
      <c r="G75" s="179"/>
      <c r="H75" s="150">
        <f>H6+H21+H23+H30+H64+H72+H74</f>
        <v>1212205919.4709997</v>
      </c>
      <c r="I75" s="144">
        <f>I6+I21+I23+I30+I64+I72+I74</f>
        <v>77111257.806960002</v>
      </c>
      <c r="J75" s="144">
        <f t="shared" ref="J75:U75" si="14">J6+J21+J23+J30+J64+J72+J74</f>
        <v>64924271.966630012</v>
      </c>
      <c r="K75" s="150">
        <f t="shared" si="14"/>
        <v>100222433.75144002</v>
      </c>
      <c r="L75" s="150">
        <f t="shared" si="14"/>
        <v>75750002.477039993</v>
      </c>
      <c r="M75" s="150">
        <f t="shared" si="14"/>
        <v>97558042.679889992</v>
      </c>
      <c r="N75" s="150">
        <f t="shared" si="14"/>
        <v>102987034.87321997</v>
      </c>
      <c r="O75" s="150">
        <f t="shared" si="14"/>
        <v>96085038.531149998</v>
      </c>
      <c r="P75" s="150">
        <f>P6+P21+P23+P30+P64+P72+P74</f>
        <v>97377290.473269999</v>
      </c>
      <c r="Q75" s="150">
        <f t="shared" si="14"/>
        <v>163683329.94948</v>
      </c>
      <c r="R75" s="150">
        <f t="shared" si="14"/>
        <v>101388475.52069998</v>
      </c>
      <c r="S75" s="150">
        <f t="shared" si="14"/>
        <v>130843296.92738996</v>
      </c>
      <c r="T75" s="150">
        <f t="shared" si="14"/>
        <v>141965716.34091994</v>
      </c>
      <c r="U75" s="147">
        <f t="shared" si="14"/>
        <v>1249896191.2980897</v>
      </c>
      <c r="V75" s="145"/>
      <c r="W75" s="145"/>
      <c r="X75" s="145"/>
      <c r="Y75" s="135"/>
    </row>
    <row r="76" spans="1:25" ht="12.75" customHeight="1" x14ac:dyDescent="0.2">
      <c r="A76" s="113"/>
      <c r="B76" s="114" t="s">
        <v>118</v>
      </c>
      <c r="C76" s="108"/>
      <c r="D76" s="108"/>
      <c r="E76" s="148"/>
      <c r="F76" s="148"/>
      <c r="G76" s="143" t="s">
        <v>119</v>
      </c>
      <c r="H76" s="180">
        <v>-63395241</v>
      </c>
      <c r="I76" s="122">
        <v>-15848810</v>
      </c>
      <c r="J76" s="122">
        <v>0</v>
      </c>
      <c r="K76" s="180">
        <v>0</v>
      </c>
      <c r="L76" s="180">
        <v>-15848810</v>
      </c>
      <c r="M76" s="180">
        <v>0</v>
      </c>
      <c r="N76" s="180">
        <v>0</v>
      </c>
      <c r="O76" s="180">
        <v>-15848810</v>
      </c>
      <c r="P76" s="180">
        <v>0</v>
      </c>
      <c r="Q76" s="180">
        <v>0</v>
      </c>
      <c r="R76" s="180">
        <v>-15848810</v>
      </c>
      <c r="S76" s="180">
        <v>0</v>
      </c>
      <c r="T76" s="180">
        <v>0</v>
      </c>
      <c r="U76" s="181">
        <f>SUM(I76:T76)</f>
        <v>-63395240</v>
      </c>
      <c r="V76" s="119"/>
      <c r="W76" s="119"/>
      <c r="X76" s="119"/>
      <c r="Y76" s="135"/>
    </row>
    <row r="77" spans="1:25" ht="12.75" customHeight="1" x14ac:dyDescent="0.2">
      <c r="A77" s="182"/>
      <c r="B77" s="183" t="s">
        <v>120</v>
      </c>
      <c r="C77" s="184"/>
      <c r="D77" s="184"/>
      <c r="E77" s="185"/>
      <c r="F77" s="185"/>
      <c r="G77" s="186"/>
      <c r="H77" s="187">
        <f>H75+H76</f>
        <v>1148810678.4709997</v>
      </c>
      <c r="I77" s="188">
        <f>I75+I76</f>
        <v>61262447.806960002</v>
      </c>
      <c r="J77" s="188">
        <f t="shared" ref="J77:T77" si="15">J75+J76</f>
        <v>64924271.966630012</v>
      </c>
      <c r="K77" s="187">
        <f t="shared" si="15"/>
        <v>100222433.75144002</v>
      </c>
      <c r="L77" s="187">
        <f t="shared" si="15"/>
        <v>59901192.477039993</v>
      </c>
      <c r="M77" s="187">
        <f t="shared" si="15"/>
        <v>97558042.679889992</v>
      </c>
      <c r="N77" s="187">
        <f t="shared" si="15"/>
        <v>102987034.87321997</v>
      </c>
      <c r="O77" s="187">
        <f t="shared" si="15"/>
        <v>80236228.531149998</v>
      </c>
      <c r="P77" s="187">
        <f t="shared" si="15"/>
        <v>97377290.473269999</v>
      </c>
      <c r="Q77" s="187">
        <f t="shared" si="15"/>
        <v>163683329.94948</v>
      </c>
      <c r="R77" s="187">
        <f t="shared" si="15"/>
        <v>85539665.520699978</v>
      </c>
      <c r="S77" s="187">
        <f t="shared" si="15"/>
        <v>130843296.92738996</v>
      </c>
      <c r="T77" s="187">
        <f t="shared" si="15"/>
        <v>141965716.34091994</v>
      </c>
      <c r="U77" s="189">
        <f>U75+U76</f>
        <v>1186500951.2980897</v>
      </c>
      <c r="V77" s="145"/>
      <c r="W77" s="145"/>
      <c r="X77" s="145"/>
      <c r="Y77" s="130"/>
    </row>
    <row r="78" spans="1:25" ht="12.75" hidden="1" customHeight="1" x14ac:dyDescent="0.2">
      <c r="A78" s="113"/>
      <c r="B78" s="114"/>
      <c r="C78" s="108"/>
      <c r="D78" s="108"/>
      <c r="E78" s="148"/>
      <c r="F78" s="148"/>
      <c r="G78" s="143"/>
      <c r="H78" s="150"/>
      <c r="I78" s="144"/>
      <c r="J78" s="144"/>
      <c r="K78" s="150"/>
      <c r="L78" s="150"/>
      <c r="M78" s="150"/>
      <c r="N78" s="150"/>
      <c r="O78" s="150"/>
      <c r="P78" s="150"/>
      <c r="Q78" s="150"/>
      <c r="R78" s="150"/>
      <c r="S78" s="150"/>
      <c r="T78" s="150"/>
      <c r="U78" s="147"/>
      <c r="V78" s="145"/>
      <c r="W78" s="145"/>
      <c r="X78" s="145"/>
      <c r="Y78" s="130"/>
    </row>
    <row r="79" spans="1:25" s="108" customFormat="1" ht="12.75" hidden="1" customHeight="1" x14ac:dyDescent="0.2">
      <c r="A79" s="190"/>
      <c r="B79" s="107"/>
      <c r="C79" s="107"/>
      <c r="D79" s="107"/>
      <c r="E79" s="107"/>
      <c r="F79" s="107"/>
      <c r="G79" s="191"/>
      <c r="H79" s="157"/>
      <c r="I79" s="157"/>
      <c r="J79" s="158"/>
      <c r="K79" s="158"/>
      <c r="L79" s="158"/>
      <c r="M79" s="158"/>
      <c r="N79" s="158"/>
      <c r="O79" s="158"/>
      <c r="P79" s="158"/>
      <c r="Q79" s="158"/>
      <c r="R79" s="158"/>
      <c r="S79" s="158"/>
      <c r="T79" s="158"/>
      <c r="U79" s="192"/>
      <c r="V79" s="158"/>
      <c r="W79" s="158"/>
      <c r="X79" s="158"/>
      <c r="Y79" s="130"/>
    </row>
    <row r="80" spans="1:25" ht="12.75" customHeight="1" x14ac:dyDescent="0.2">
      <c r="A80" s="113"/>
      <c r="B80" s="114" t="s">
        <v>121</v>
      </c>
      <c r="C80" s="114"/>
      <c r="D80" s="108"/>
      <c r="E80" s="148"/>
      <c r="F80" s="148"/>
      <c r="G80" s="143" t="s">
        <v>156</v>
      </c>
      <c r="H80" s="193">
        <f>SUM(H81:H96)-H94</f>
        <v>51974982.526653387</v>
      </c>
      <c r="I80" s="117">
        <f>SUM(I81:I96)-I94</f>
        <v>1833292.57381</v>
      </c>
      <c r="J80" s="117">
        <f t="shared" ref="J80:T80" si="16">SUM(J81:J96)-J94</f>
        <v>3182174.0558000002</v>
      </c>
      <c r="K80" s="193">
        <f t="shared" si="16"/>
        <v>8331667.6252000006</v>
      </c>
      <c r="L80" s="193">
        <f t="shared" si="16"/>
        <v>2945120.4831299996</v>
      </c>
      <c r="M80" s="193">
        <f>SUM(M81:M96)-M94</f>
        <v>4297105.98661</v>
      </c>
      <c r="N80" s="193">
        <f>SUM(N81:N96)-N94</f>
        <v>2692220.3989499998</v>
      </c>
      <c r="O80" s="193">
        <f>SUM(O81:O96)-O94</f>
        <v>2994488.5847100001</v>
      </c>
      <c r="P80" s="193">
        <f>SUM(P81:P96)-P94</f>
        <v>1840904.30532</v>
      </c>
      <c r="Q80" s="193">
        <f>SUM(Q81:Q96)-Q94</f>
        <v>12687363.820019998</v>
      </c>
      <c r="R80" s="193">
        <f t="shared" si="16"/>
        <v>1989404.1942399999</v>
      </c>
      <c r="S80" s="193">
        <f>SUM(S81:S96)-S94</f>
        <v>1849533.0013399997</v>
      </c>
      <c r="T80" s="193">
        <f t="shared" si="16"/>
        <v>4990853.0359300002</v>
      </c>
      <c r="U80" s="118">
        <f>SUM(U81:U96)-U94</f>
        <v>49634128.065059997</v>
      </c>
      <c r="V80" s="119"/>
      <c r="W80" s="119"/>
      <c r="X80" s="119"/>
      <c r="Y80" s="130"/>
    </row>
    <row r="81" spans="1:39" ht="12.75" customHeight="1" x14ac:dyDescent="0.2">
      <c r="A81" s="113"/>
      <c r="B81" s="108"/>
      <c r="C81" s="698" t="s">
        <v>122</v>
      </c>
      <c r="D81" s="698"/>
      <c r="E81" s="698"/>
      <c r="F81" s="698"/>
      <c r="G81" s="143"/>
      <c r="H81" s="137"/>
      <c r="I81" s="136"/>
      <c r="J81" s="136"/>
      <c r="K81" s="137"/>
      <c r="L81" s="137"/>
      <c r="M81" s="137"/>
      <c r="N81" s="137"/>
      <c r="O81" s="137"/>
      <c r="P81" s="137"/>
      <c r="Q81" s="137"/>
      <c r="R81" s="137"/>
      <c r="S81" s="137"/>
      <c r="T81" s="137"/>
      <c r="U81" s="138"/>
      <c r="V81" s="139"/>
      <c r="W81" s="139"/>
      <c r="X81" s="139"/>
      <c r="Y81" s="135"/>
    </row>
    <row r="82" spans="1:39" ht="12.75" customHeight="1" x14ac:dyDescent="0.2">
      <c r="A82" s="113"/>
      <c r="B82" s="108"/>
      <c r="C82" s="108"/>
      <c r="D82" s="108"/>
      <c r="E82" s="108" t="s">
        <v>123</v>
      </c>
      <c r="F82" s="148"/>
      <c r="G82" s="143"/>
      <c r="H82" s="137">
        <v>58376</v>
      </c>
      <c r="I82" s="153">
        <v>4157.72876</v>
      </c>
      <c r="J82" s="136">
        <f>4130.86299+21.1859999999997</f>
        <v>4152.0489899999993</v>
      </c>
      <c r="K82" s="136">
        <v>4395.3252899999989</v>
      </c>
      <c r="L82" s="136">
        <v>4188.9931699999997</v>
      </c>
      <c r="M82" s="136">
        <v>4202.1022400000002</v>
      </c>
      <c r="N82" s="136">
        <v>4417.0128500000001</v>
      </c>
      <c r="O82" s="194">
        <v>4270.09807</v>
      </c>
      <c r="P82" s="136">
        <v>4275.6802099999995</v>
      </c>
      <c r="Q82" s="136">
        <v>4336.9182999999994</v>
      </c>
      <c r="R82" s="136">
        <v>4580.9539000000004</v>
      </c>
      <c r="S82" s="136">
        <v>4264.4202500000001</v>
      </c>
      <c r="T82" s="136">
        <v>4140.8801599999997</v>
      </c>
      <c r="U82" s="195">
        <f t="shared" ref="U82:U88" si="17">SUM(I82:T82)</f>
        <v>51382.162189999995</v>
      </c>
      <c r="V82" s="139"/>
      <c r="W82" s="139"/>
      <c r="X82" s="139"/>
      <c r="Y82" s="135"/>
    </row>
    <row r="83" spans="1:39" ht="12.75" customHeight="1" x14ac:dyDescent="0.2">
      <c r="A83" s="113"/>
      <c r="B83" s="114"/>
      <c r="E83" s="196" t="s">
        <v>124</v>
      </c>
      <c r="F83" s="148"/>
      <c r="G83" s="143"/>
      <c r="H83" s="137">
        <v>4900</v>
      </c>
      <c r="I83" s="136">
        <v>0</v>
      </c>
      <c r="J83" s="136">
        <v>0</v>
      </c>
      <c r="K83" s="136">
        <v>415</v>
      </c>
      <c r="L83" s="137">
        <v>107</v>
      </c>
      <c r="M83" s="137">
        <v>574</v>
      </c>
      <c r="N83" s="137">
        <v>57</v>
      </c>
      <c r="O83" s="197">
        <v>-5</v>
      </c>
      <c r="P83" s="137">
        <v>171</v>
      </c>
      <c r="Q83" s="137">
        <v>187.5</v>
      </c>
      <c r="R83" s="137">
        <v>146.5</v>
      </c>
      <c r="S83" s="137">
        <v>201</v>
      </c>
      <c r="T83" s="137">
        <v>1376.25</v>
      </c>
      <c r="U83" s="138">
        <f t="shared" si="17"/>
        <v>3230.25</v>
      </c>
      <c r="V83" s="139"/>
      <c r="W83" s="139"/>
      <c r="X83" s="139"/>
      <c r="Y83" s="130"/>
    </row>
    <row r="84" spans="1:39" ht="12.75" customHeight="1" x14ac:dyDescent="0.2">
      <c r="A84" s="113"/>
      <c r="B84" s="108"/>
      <c r="C84" s="108"/>
      <c r="D84" s="108"/>
      <c r="E84" s="108" t="s">
        <v>125</v>
      </c>
      <c r="F84" s="108"/>
      <c r="G84" s="115"/>
      <c r="H84" s="137">
        <v>848275</v>
      </c>
      <c r="I84" s="153">
        <v>5135.0639899999996</v>
      </c>
      <c r="J84" s="136">
        <v>16394.861830000002</v>
      </c>
      <c r="K84" s="136">
        <v>18251.204130000002</v>
      </c>
      <c r="L84" s="136">
        <v>13622.154170000002</v>
      </c>
      <c r="M84" s="136">
        <v>31909.072619999999</v>
      </c>
      <c r="N84" s="136">
        <v>43736.20551</v>
      </c>
      <c r="O84" s="194">
        <v>29862.057910000003</v>
      </c>
      <c r="P84" s="136">
        <v>29039.146559999986</v>
      </c>
      <c r="Q84" s="136">
        <v>29489.716899999999</v>
      </c>
      <c r="R84" s="136">
        <f>10190.04816+9039.9002</f>
        <v>19229.948360000002</v>
      </c>
      <c r="S84" s="136">
        <f>28498.9058</f>
        <v>28498.9058</v>
      </c>
      <c r="T84" s="136">
        <v>26639.171519999989</v>
      </c>
      <c r="U84" s="195">
        <f t="shared" si="17"/>
        <v>291807.50929999998</v>
      </c>
      <c r="V84" s="139"/>
      <c r="W84" s="139"/>
      <c r="X84" s="139"/>
      <c r="Y84" s="135"/>
    </row>
    <row r="85" spans="1:39" ht="12.75" customHeight="1" x14ac:dyDescent="0.2">
      <c r="A85" s="113"/>
      <c r="B85" s="114"/>
      <c r="C85" s="108"/>
      <c r="D85" s="108"/>
      <c r="E85" s="108" t="s">
        <v>126</v>
      </c>
      <c r="F85" s="108"/>
      <c r="G85" s="115"/>
      <c r="H85" s="137">
        <v>897859</v>
      </c>
      <c r="I85" s="153">
        <v>53854.645389999998</v>
      </c>
      <c r="J85" s="136">
        <f>60911.93396+50.1281600000148</f>
        <v>60962.062120000017</v>
      </c>
      <c r="K85" s="136">
        <v>73813.136580000049</v>
      </c>
      <c r="L85" s="136">
        <v>69584.14582000002</v>
      </c>
      <c r="M85" s="136">
        <v>97711.810700000002</v>
      </c>
      <c r="N85" s="136">
        <v>74635.367310000016</v>
      </c>
      <c r="O85" s="194">
        <v>76988.876439999993</v>
      </c>
      <c r="P85" s="136">
        <v>85562.79008999998</v>
      </c>
      <c r="Q85" s="136">
        <v>80740.062219999978</v>
      </c>
      <c r="R85" s="136">
        <f>46454.5968+26037.47253</f>
        <v>72492.069329999998</v>
      </c>
      <c r="S85" s="136">
        <f>75657.03554</f>
        <v>75657.035539999997</v>
      </c>
      <c r="T85" s="136">
        <v>25679.62226</v>
      </c>
      <c r="U85" s="195">
        <f t="shared" si="17"/>
        <v>847681.62379999994</v>
      </c>
      <c r="V85" s="139"/>
      <c r="W85" s="139"/>
      <c r="X85" s="139"/>
      <c r="Y85" s="135"/>
    </row>
    <row r="86" spans="1:39" ht="12.75" customHeight="1" x14ac:dyDescent="0.2">
      <c r="A86" s="113"/>
      <c r="B86" s="108"/>
      <c r="C86" s="108"/>
      <c r="D86" s="108"/>
      <c r="E86" s="688" t="s">
        <v>127</v>
      </c>
      <c r="F86" s="688"/>
      <c r="G86" s="689"/>
      <c r="H86" s="137">
        <v>8897</v>
      </c>
      <c r="I86" s="153">
        <v>158.95270000000002</v>
      </c>
      <c r="J86" s="136">
        <v>317.98962000000006</v>
      </c>
      <c r="K86" s="136">
        <v>376.63499999999999</v>
      </c>
      <c r="L86" s="137">
        <v>613.54687000000001</v>
      </c>
      <c r="M86" s="136">
        <v>490.34724999999997</v>
      </c>
      <c r="N86" s="136">
        <v>305.85806999999994</v>
      </c>
      <c r="O86" s="194">
        <v>398.16741000000007</v>
      </c>
      <c r="P86" s="136">
        <v>314.22257000000002</v>
      </c>
      <c r="Q86" s="136">
        <v>1183.7870400000002</v>
      </c>
      <c r="R86" s="136">
        <f>1586.64311+232.2976</f>
        <v>1818.9407099999999</v>
      </c>
      <c r="S86" s="136">
        <f>435.40351</f>
        <v>435.40350999999998</v>
      </c>
      <c r="T86" s="136">
        <v>174.90087</v>
      </c>
      <c r="U86" s="195">
        <f t="shared" si="17"/>
        <v>6588.7516200000009</v>
      </c>
      <c r="V86" s="139"/>
      <c r="W86" s="139"/>
      <c r="X86" s="139"/>
      <c r="Y86" s="135"/>
    </row>
    <row r="87" spans="1:39" s="175" customFormat="1" ht="12.75" customHeight="1" x14ac:dyDescent="0.2">
      <c r="A87" s="171"/>
      <c r="B87" s="114"/>
      <c r="C87" s="114" t="s">
        <v>128</v>
      </c>
      <c r="D87" s="114"/>
      <c r="E87" s="114"/>
      <c r="F87" s="152"/>
      <c r="G87" s="198"/>
      <c r="H87" s="150">
        <v>629811</v>
      </c>
      <c r="I87" s="199">
        <v>0</v>
      </c>
      <c r="J87" s="199">
        <v>43672.644369999995</v>
      </c>
      <c r="K87" s="199">
        <v>0</v>
      </c>
      <c r="L87" s="199">
        <v>73683.913189999992</v>
      </c>
      <c r="M87" s="199">
        <v>0</v>
      </c>
      <c r="N87" s="199">
        <v>0</v>
      </c>
      <c r="O87" s="200">
        <v>177084.45775999999</v>
      </c>
      <c r="P87" s="199">
        <v>0</v>
      </c>
      <c r="Q87" s="199">
        <v>0</v>
      </c>
      <c r="R87" s="199">
        <v>96854.026969999992</v>
      </c>
      <c r="S87" s="144">
        <v>29871.442620000002</v>
      </c>
      <c r="T87" s="144">
        <v>0</v>
      </c>
      <c r="U87" s="151">
        <f t="shared" si="17"/>
        <v>421166.48491</v>
      </c>
      <c r="V87" s="119"/>
      <c r="W87" s="119"/>
      <c r="X87" s="119"/>
      <c r="Y87" s="201"/>
    </row>
    <row r="88" spans="1:39" s="175" customFormat="1" ht="12.75" customHeight="1" x14ac:dyDescent="0.2">
      <c r="A88" s="171"/>
      <c r="B88" s="114"/>
      <c r="C88" s="114" t="s">
        <v>129</v>
      </c>
      <c r="D88" s="114"/>
      <c r="E88" s="114"/>
      <c r="F88" s="114"/>
      <c r="G88" s="202"/>
      <c r="H88" s="203">
        <v>622404</v>
      </c>
      <c r="I88" s="204">
        <v>3631.05654</v>
      </c>
      <c r="J88" s="204">
        <v>15649.83107</v>
      </c>
      <c r="K88" s="204">
        <v>11308.06079</v>
      </c>
      <c r="L88" s="204">
        <v>19243.870549999996</v>
      </c>
      <c r="M88" s="204">
        <v>45164.593119999998</v>
      </c>
      <c r="N88" s="204">
        <v>22755.888919999998</v>
      </c>
      <c r="O88" s="205">
        <v>46387.177580000003</v>
      </c>
      <c r="P88" s="204">
        <v>17859.362980000002</v>
      </c>
      <c r="Q88" s="204">
        <v>15677.597390000001</v>
      </c>
      <c r="R88" s="204">
        <f>8375.31496+6059.85919</f>
        <v>14435.174149999999</v>
      </c>
      <c r="S88" s="204">
        <f>60512.4869</f>
        <v>60512.486900000004</v>
      </c>
      <c r="T88" s="204">
        <v>16329.521520000002</v>
      </c>
      <c r="U88" s="151">
        <f t="shared" si="17"/>
        <v>288954.62151000003</v>
      </c>
      <c r="V88" s="119"/>
      <c r="W88" s="119"/>
      <c r="X88" s="119"/>
      <c r="Y88" s="201"/>
    </row>
    <row r="89" spans="1:39" s="175" customFormat="1" ht="12.75" customHeight="1" x14ac:dyDescent="0.2">
      <c r="A89" s="171"/>
      <c r="B89" s="114"/>
      <c r="C89" s="114" t="s">
        <v>130</v>
      </c>
      <c r="D89" s="114"/>
      <c r="E89" s="152"/>
      <c r="F89" s="152"/>
      <c r="G89" s="198"/>
      <c r="H89" s="150"/>
      <c r="I89" s="199"/>
      <c r="J89" s="144"/>
      <c r="K89" s="144"/>
      <c r="L89" s="144"/>
      <c r="M89" s="144"/>
      <c r="N89" s="144"/>
      <c r="O89" s="144"/>
      <c r="P89" s="144"/>
      <c r="Q89" s="144"/>
      <c r="R89" s="144"/>
      <c r="S89" s="144"/>
      <c r="T89" s="144"/>
      <c r="U89" s="195"/>
      <c r="V89" s="119"/>
      <c r="W89" s="119"/>
      <c r="X89" s="119"/>
      <c r="Y89" s="201"/>
    </row>
    <row r="90" spans="1:39" ht="12.75" customHeight="1" x14ac:dyDescent="0.2">
      <c r="A90" s="113"/>
      <c r="B90" s="108"/>
      <c r="C90" s="108"/>
      <c r="D90" s="108"/>
      <c r="E90" s="148" t="s">
        <v>131</v>
      </c>
      <c r="F90" s="148"/>
      <c r="G90" s="143"/>
      <c r="H90" s="156">
        <v>5659047</v>
      </c>
      <c r="I90" s="153">
        <v>482155.24502999999</v>
      </c>
      <c r="J90" s="153">
        <f>202472.47722+12.445689999964</f>
        <v>202484.92290999996</v>
      </c>
      <c r="K90" s="153">
        <v>199409.31185</v>
      </c>
      <c r="L90" s="153">
        <v>129830.99192</v>
      </c>
      <c r="M90" s="153">
        <v>317057.09378999996</v>
      </c>
      <c r="N90" s="153">
        <v>234314.62327000001</v>
      </c>
      <c r="O90" s="206">
        <v>2118.2010599999994</v>
      </c>
      <c r="P90" s="153">
        <v>713323.11497</v>
      </c>
      <c r="Q90" s="153">
        <v>543830.14695999993</v>
      </c>
      <c r="R90" s="153">
        <f>362697.36484+80.103759999905</f>
        <v>362777.46859999991</v>
      </c>
      <c r="S90" s="157">
        <f>823788.18805</f>
        <v>823788.18805</v>
      </c>
      <c r="T90" s="157">
        <v>2657525.7576899999</v>
      </c>
      <c r="U90" s="192">
        <f>SUM(I90:T90)</f>
        <v>6668615.0660999995</v>
      </c>
      <c r="V90" s="139"/>
      <c r="W90" s="139"/>
      <c r="X90" s="139"/>
      <c r="Y90" s="135"/>
    </row>
    <row r="91" spans="1:39" ht="12.75" customHeight="1" x14ac:dyDescent="0.2">
      <c r="A91" s="113"/>
      <c r="B91" s="114"/>
      <c r="C91" s="108"/>
      <c r="D91" s="108"/>
      <c r="E91" s="148" t="s">
        <v>132</v>
      </c>
      <c r="F91" s="148"/>
      <c r="G91" s="143"/>
      <c r="H91" s="137">
        <v>347829</v>
      </c>
      <c r="I91" s="153">
        <v>0</v>
      </c>
      <c r="J91" s="153">
        <v>0</v>
      </c>
      <c r="K91" s="153">
        <v>0</v>
      </c>
      <c r="L91" s="153">
        <v>216757.96463999999</v>
      </c>
      <c r="M91" s="153">
        <v>0</v>
      </c>
      <c r="N91" s="153">
        <v>0</v>
      </c>
      <c r="O91" s="206">
        <v>0</v>
      </c>
      <c r="P91" s="153">
        <v>0</v>
      </c>
      <c r="Q91" s="153">
        <v>102356.41051999999</v>
      </c>
      <c r="R91" s="153">
        <v>0</v>
      </c>
      <c r="S91" s="136">
        <v>0</v>
      </c>
      <c r="T91" s="136">
        <v>0</v>
      </c>
      <c r="U91" s="195">
        <f>SUM(I91:T91)</f>
        <v>319114.37516</v>
      </c>
      <c r="V91" s="139"/>
      <c r="W91" s="139"/>
      <c r="X91" s="139"/>
      <c r="Y91" s="135"/>
    </row>
    <row r="92" spans="1:39" ht="12.6" customHeight="1" x14ac:dyDescent="0.2">
      <c r="A92" s="113"/>
      <c r="B92" s="108"/>
      <c r="C92" s="108"/>
      <c r="D92" s="108"/>
      <c r="E92" s="148" t="s">
        <v>133</v>
      </c>
      <c r="F92" s="148"/>
      <c r="G92" s="143"/>
      <c r="H92" s="137">
        <v>14370513.526653398</v>
      </c>
      <c r="I92" s="153">
        <v>1215.8561399999999</v>
      </c>
      <c r="J92" s="153">
        <v>6536.7468999999501</v>
      </c>
      <c r="K92" s="153">
        <v>4667806.4456400005</v>
      </c>
      <c r="L92" s="153">
        <v>-1176720.2021300001</v>
      </c>
      <c r="M92" s="153">
        <v>349787.30255999998</v>
      </c>
      <c r="N92" s="153">
        <v>257470.79566999999</v>
      </c>
      <c r="O92" s="206">
        <v>80879.446850000008</v>
      </c>
      <c r="P92" s="153">
        <v>31856.73014</v>
      </c>
      <c r="Q92" s="153">
        <v>9145970.8990499992</v>
      </c>
      <c r="R92" s="153">
        <v>25594.85658</v>
      </c>
      <c r="S92" s="136">
        <v>216371.08354999998</v>
      </c>
      <c r="T92" s="136">
        <v>525602.26861999999</v>
      </c>
      <c r="U92" s="195">
        <f>SUM(I92:T92)</f>
        <v>14132372.22957</v>
      </c>
      <c r="V92" s="139"/>
      <c r="W92" s="139"/>
      <c r="X92" s="139"/>
      <c r="Y92" s="135"/>
    </row>
    <row r="93" spans="1:39" s="135" customFormat="1" ht="12.75" customHeight="1" x14ac:dyDescent="0.2">
      <c r="A93" s="141"/>
      <c r="B93" s="130"/>
      <c r="C93" s="130"/>
      <c r="D93" s="130"/>
      <c r="E93" s="154" t="s">
        <v>134</v>
      </c>
      <c r="F93" s="154"/>
      <c r="G93" s="143"/>
      <c r="H93" s="162"/>
      <c r="I93" s="153"/>
      <c r="J93" s="153"/>
      <c r="K93" s="153"/>
      <c r="L93" s="153"/>
      <c r="M93" s="153"/>
      <c r="N93" s="153"/>
      <c r="O93" s="206"/>
      <c r="P93" s="153"/>
      <c r="Q93" s="153"/>
      <c r="R93" s="153"/>
      <c r="S93" s="115"/>
      <c r="T93" s="115"/>
      <c r="U93" s="207"/>
      <c r="V93" s="139"/>
      <c r="W93" s="139"/>
      <c r="X93" s="139"/>
      <c r="AA93" s="93" t="s">
        <v>135</v>
      </c>
      <c r="AB93" s="93" t="s">
        <v>136</v>
      </c>
      <c r="AE93" s="105"/>
    </row>
    <row r="94" spans="1:39" s="135" customFormat="1" ht="12.75" customHeight="1" x14ac:dyDescent="0.2">
      <c r="A94" s="141"/>
      <c r="B94" s="130"/>
      <c r="C94" s="130"/>
      <c r="D94" s="130"/>
      <c r="E94" s="208" t="s">
        <v>137</v>
      </c>
      <c r="F94" s="154"/>
      <c r="G94" s="143"/>
      <c r="H94" s="162">
        <v>14343372.5266534</v>
      </c>
      <c r="I94" s="143">
        <v>380.17591999999996</v>
      </c>
      <c r="J94" s="143">
        <v>6086.8554899999872</v>
      </c>
      <c r="K94" s="143">
        <v>4667661.56489</v>
      </c>
      <c r="L94" s="143">
        <v>-1177127.9675199999</v>
      </c>
      <c r="M94" s="143">
        <v>349172.53522000002</v>
      </c>
      <c r="N94" s="143">
        <v>256221.06475999998</v>
      </c>
      <c r="O94" s="209">
        <v>78001.98659</v>
      </c>
      <c r="P94" s="143">
        <v>30483.555270000001</v>
      </c>
      <c r="Q94" s="143">
        <v>9144973.6955900006</v>
      </c>
      <c r="R94" s="143">
        <v>25125.251239999998</v>
      </c>
      <c r="S94" s="115">
        <v>215507.33799999999</v>
      </c>
      <c r="T94" s="115">
        <v>525371.93869999994</v>
      </c>
      <c r="U94" s="207">
        <f>SUM(I94:T94)</f>
        <v>14121857.99415</v>
      </c>
      <c r="V94" s="165"/>
      <c r="W94" s="165"/>
      <c r="X94" s="165"/>
      <c r="AA94" s="135" t="e">
        <f>+#REF!</f>
        <v>#REF!</v>
      </c>
      <c r="AB94" s="135" t="e">
        <f>+#REF!</f>
        <v>#REF!</v>
      </c>
      <c r="AC94" s="135" t="str">
        <f>+B75</f>
        <v>Total tax revenue (gross)</v>
      </c>
      <c r="AE94" s="105"/>
    </row>
    <row r="95" spans="1:39" s="175" customFormat="1" ht="12.75" customHeight="1" x14ac:dyDescent="0.2">
      <c r="A95" s="171"/>
      <c r="B95" s="114"/>
      <c r="C95" s="114" t="s">
        <v>138</v>
      </c>
      <c r="D95" s="114"/>
      <c r="E95" s="152"/>
      <c r="F95" s="152"/>
      <c r="G95" s="198"/>
      <c r="H95" s="203">
        <v>128391</v>
      </c>
      <c r="I95" s="199">
        <v>2077.8758600000001</v>
      </c>
      <c r="J95" s="199">
        <v>46.144419999999997</v>
      </c>
      <c r="K95" s="199">
        <v>916.66796999999997</v>
      </c>
      <c r="L95" s="199">
        <v>23713.248240000001</v>
      </c>
      <c r="M95" s="199">
        <v>6222.0098100000005</v>
      </c>
      <c r="N95" s="199">
        <v>20620.294889999997</v>
      </c>
      <c r="O95" s="200">
        <v>9263.0954299999994</v>
      </c>
      <c r="P95" s="199">
        <v>5920.0318499999994</v>
      </c>
      <c r="Q95" s="199">
        <v>27392.769390000001</v>
      </c>
      <c r="R95" s="199">
        <f>92.04221+4067.2766</f>
        <v>4159.3188099999998</v>
      </c>
      <c r="S95" s="199">
        <f>1156.19183</f>
        <v>1156.19183</v>
      </c>
      <c r="T95" s="199">
        <v>1486.9614100000001</v>
      </c>
      <c r="U95" s="210">
        <f>SUM(I95:T95)</f>
        <v>102974.60991</v>
      </c>
      <c r="V95" s="119"/>
      <c r="W95" s="119"/>
      <c r="X95" s="119"/>
      <c r="Y95" s="201"/>
      <c r="AA95" s="175" t="e">
        <f>+#REF!</f>
        <v>#REF!</v>
      </c>
      <c r="AB95" s="175" t="e">
        <f>+#REF!</f>
        <v>#REF!</v>
      </c>
      <c r="AC95" s="175" t="str">
        <f>+A133</f>
        <v>Revenue collected on behalf of the RAF</v>
      </c>
      <c r="AM95" s="153"/>
    </row>
    <row r="96" spans="1:39" s="175" customFormat="1" ht="12" customHeight="1" x14ac:dyDescent="0.2">
      <c r="A96" s="171"/>
      <c r="B96" s="114"/>
      <c r="C96" s="114" t="s">
        <v>139</v>
      </c>
      <c r="D96" s="114"/>
      <c r="E96" s="114"/>
      <c r="F96" s="114"/>
      <c r="G96" s="198"/>
      <c r="H96" s="204">
        <v>28398679.999999996</v>
      </c>
      <c r="I96" s="204">
        <f t="shared" ref="I96:N96" si="18">SUM(I97:I100)+I113</f>
        <v>1280906.1494</v>
      </c>
      <c r="J96" s="204">
        <f t="shared" si="18"/>
        <v>2831956.80357</v>
      </c>
      <c r="K96" s="203">
        <f t="shared" si="18"/>
        <v>3354975.8379500001</v>
      </c>
      <c r="L96" s="203">
        <f t="shared" si="18"/>
        <v>3570494.8566899998</v>
      </c>
      <c r="M96" s="203">
        <f t="shared" si="18"/>
        <v>3443987.6545199999</v>
      </c>
      <c r="N96" s="203">
        <f t="shared" si="18"/>
        <v>2033907.35246</v>
      </c>
      <c r="O96" s="211">
        <f>-14169.9938+O113</f>
        <v>2567242.0062000002</v>
      </c>
      <c r="P96" s="203">
        <f>52024.22595+P113</f>
        <v>952582.22594999999</v>
      </c>
      <c r="Q96" s="203">
        <f>37245.01225+Q113</f>
        <v>2736198.0122500001</v>
      </c>
      <c r="R96" s="203">
        <f>SUM(R97:R100)+R113</f>
        <v>1387314.93683</v>
      </c>
      <c r="S96" s="203">
        <f>SUM(S97:S100)+S113</f>
        <v>608776.84328999999</v>
      </c>
      <c r="T96" s="203">
        <f>SUM(T97:T100)+T113</f>
        <v>1731897.7018800001</v>
      </c>
      <c r="U96" s="212">
        <f>SUM(I96:T96)</f>
        <v>26500240.380989999</v>
      </c>
      <c r="V96" s="119"/>
      <c r="W96" s="119"/>
      <c r="X96" s="119"/>
      <c r="Y96" s="108"/>
      <c r="AA96" s="175" t="e">
        <f>+#REF!</f>
        <v>#REF!</v>
      </c>
      <c r="AB96" s="175" t="e">
        <f>+#REF!</f>
        <v>#REF!</v>
      </c>
      <c r="AC96" s="175" t="str">
        <f>+A134</f>
        <v>Revenue collected on behalf of the UIF</v>
      </c>
    </row>
    <row r="97" spans="1:25" ht="12" hidden="1" customHeight="1" x14ac:dyDescent="0.2">
      <c r="A97" s="113"/>
      <c r="B97" s="108"/>
      <c r="C97" s="108"/>
      <c r="D97" s="108"/>
      <c r="E97" s="108" t="s">
        <v>140</v>
      </c>
      <c r="F97" s="108"/>
      <c r="G97" s="213"/>
      <c r="H97" s="137">
        <v>0</v>
      </c>
      <c r="I97" s="137">
        <v>0</v>
      </c>
      <c r="J97" s="137">
        <v>0</v>
      </c>
      <c r="K97" s="137">
        <v>0</v>
      </c>
      <c r="L97" s="137">
        <v>0</v>
      </c>
      <c r="M97" s="137">
        <v>0</v>
      </c>
      <c r="N97" s="137">
        <v>0</v>
      </c>
      <c r="O97" s="197">
        <v>0</v>
      </c>
      <c r="P97" s="137">
        <v>0</v>
      </c>
      <c r="Q97" s="137">
        <v>0</v>
      </c>
      <c r="R97" s="137">
        <v>0</v>
      </c>
      <c r="S97" s="137">
        <v>0</v>
      </c>
      <c r="T97" s="137">
        <v>0</v>
      </c>
      <c r="U97" s="138">
        <f t="shared" ref="U97:U111" si="19">SUM(I97:T97)</f>
        <v>0</v>
      </c>
      <c r="V97" s="139"/>
      <c r="W97" s="139"/>
      <c r="X97" s="139"/>
      <c r="Y97" s="135"/>
    </row>
    <row r="98" spans="1:25" ht="12.75" hidden="1" customHeight="1" x14ac:dyDescent="0.2">
      <c r="A98" s="113"/>
      <c r="B98" s="108"/>
      <c r="C98" s="108"/>
      <c r="D98" s="108"/>
      <c r="E98" s="214" t="s">
        <v>141</v>
      </c>
      <c r="F98" s="215"/>
      <c r="G98" s="148"/>
      <c r="H98" s="216">
        <v>3841</v>
      </c>
      <c r="I98" s="137">
        <v>0</v>
      </c>
      <c r="J98" s="137">
        <v>0</v>
      </c>
      <c r="K98" s="137">
        <v>0</v>
      </c>
      <c r="L98" s="137">
        <v>0</v>
      </c>
      <c r="M98" s="137">
        <v>0</v>
      </c>
      <c r="N98" s="137">
        <v>0</v>
      </c>
      <c r="O98" s="197">
        <v>0</v>
      </c>
      <c r="P98" s="137">
        <v>1684.28188</v>
      </c>
      <c r="Q98" s="137">
        <v>0</v>
      </c>
      <c r="R98" s="137">
        <v>0</v>
      </c>
      <c r="S98" s="137">
        <v>1445.9382700000001</v>
      </c>
      <c r="T98" s="137">
        <v>0</v>
      </c>
      <c r="U98" s="138">
        <f t="shared" si="19"/>
        <v>3130.2201500000001</v>
      </c>
      <c r="V98" s="139"/>
      <c r="W98" s="139"/>
      <c r="X98" s="139"/>
      <c r="Y98" s="135"/>
    </row>
    <row r="99" spans="1:25" ht="12.75" hidden="1" customHeight="1" x14ac:dyDescent="0.2">
      <c r="A99" s="113"/>
      <c r="B99" s="108"/>
      <c r="C99" s="108"/>
      <c r="D99" s="108"/>
      <c r="E99" s="148" t="s">
        <v>142</v>
      </c>
      <c r="F99" s="215"/>
      <c r="G99" s="148"/>
      <c r="H99" s="216">
        <v>283978</v>
      </c>
      <c r="I99" s="137">
        <v>18853.483210000002</v>
      </c>
      <c r="J99" s="137">
        <f>19033.77909+8.19596999999339</f>
        <v>19041.975059999993</v>
      </c>
      <c r="K99" s="137">
        <v>21892.433510000003</v>
      </c>
      <c r="L99" s="137">
        <v>14593.450540000005</v>
      </c>
      <c r="M99" s="137">
        <v>15284.014260000007</v>
      </c>
      <c r="N99" s="137">
        <v>28338.520590000004</v>
      </c>
      <c r="O99" s="197">
        <v>15376.661620000003</v>
      </c>
      <c r="P99" s="137">
        <v>30534.247729999999</v>
      </c>
      <c r="Q99" s="137">
        <v>22950.118330000001</v>
      </c>
      <c r="R99" s="137">
        <f>5686.75505+6461.86766</f>
        <v>12148.62271</v>
      </c>
      <c r="S99" s="137">
        <f>29935.758</f>
        <v>29935.758000000002</v>
      </c>
      <c r="T99" s="137">
        <v>22146.455149999998</v>
      </c>
      <c r="U99" s="138">
        <f t="shared" si="19"/>
        <v>251095.74071000001</v>
      </c>
      <c r="V99" s="139"/>
      <c r="W99" s="139"/>
      <c r="X99" s="139"/>
      <c r="Y99" s="135"/>
    </row>
    <row r="100" spans="1:25" ht="12.75" hidden="1" customHeight="1" x14ac:dyDescent="0.2">
      <c r="A100" s="113"/>
      <c r="B100" s="108"/>
      <c r="C100" s="108"/>
      <c r="D100" s="108"/>
      <c r="E100" s="148" t="s">
        <v>143</v>
      </c>
      <c r="F100" s="215"/>
      <c r="G100" s="148"/>
      <c r="H100" s="216">
        <v>741138.66653866321</v>
      </c>
      <c r="I100" s="137">
        <f>SUM(I101:I111)</f>
        <v>25563.66619</v>
      </c>
      <c r="J100" s="137">
        <f>SUM(J101:J111)</f>
        <v>5774.8285100000012</v>
      </c>
      <c r="K100" s="137">
        <f>SUM(K101:K111)</f>
        <v>13129.404440000004</v>
      </c>
      <c r="L100" s="137">
        <f>SUM(L101:L111)</f>
        <v>5578.4061500000007</v>
      </c>
      <c r="M100" s="137">
        <v>267196.64026000001</v>
      </c>
      <c r="N100" s="137">
        <f>SUM(N101:N111)</f>
        <v>63991.831869999995</v>
      </c>
      <c r="O100" s="197">
        <v>-29546.655419999999</v>
      </c>
      <c r="P100" s="137">
        <v>19805.696339999999</v>
      </c>
      <c r="Q100" s="137">
        <v>14294.893919999999</v>
      </c>
      <c r="R100" s="137">
        <f>SUM(R101:R111)</f>
        <v>14446.314119999997</v>
      </c>
      <c r="S100" s="137">
        <f t="shared" ref="S100:T100" si="20">SUM(S101:S111)</f>
        <v>3171.1470199999994</v>
      </c>
      <c r="T100" s="137">
        <f t="shared" si="20"/>
        <v>72690.246729999999</v>
      </c>
      <c r="U100" s="138">
        <f t="shared" si="19"/>
        <v>476096.42012999998</v>
      </c>
      <c r="V100" s="139"/>
      <c r="W100" s="139"/>
      <c r="X100" s="139"/>
      <c r="Y100" s="135"/>
    </row>
    <row r="101" spans="1:25" ht="12.75" hidden="1" customHeight="1" x14ac:dyDescent="0.2">
      <c r="A101" s="113"/>
      <c r="B101" s="108"/>
      <c r="C101" s="108"/>
      <c r="D101" s="108"/>
      <c r="E101" s="215" t="s">
        <v>144</v>
      </c>
      <c r="F101" s="215"/>
      <c r="G101" s="148"/>
      <c r="H101" s="217"/>
      <c r="I101" s="137">
        <v>0</v>
      </c>
      <c r="J101" s="137">
        <v>0</v>
      </c>
      <c r="K101" s="137">
        <v>0</v>
      </c>
      <c r="L101" s="137">
        <v>0</v>
      </c>
      <c r="M101" s="137">
        <v>0</v>
      </c>
      <c r="N101" s="137">
        <v>0</v>
      </c>
      <c r="O101" s="197">
        <v>0</v>
      </c>
      <c r="P101" s="137">
        <v>0</v>
      </c>
      <c r="Q101" s="137">
        <v>0</v>
      </c>
      <c r="R101" s="137">
        <v>0</v>
      </c>
      <c r="S101" s="137">
        <v>0</v>
      </c>
      <c r="T101" s="137">
        <v>0</v>
      </c>
      <c r="U101" s="138">
        <f t="shared" si="19"/>
        <v>0</v>
      </c>
      <c r="V101" s="139"/>
      <c r="W101" s="139"/>
      <c r="X101" s="139"/>
      <c r="Y101" s="135"/>
    </row>
    <row r="102" spans="1:25" ht="12.75" hidden="1" customHeight="1" x14ac:dyDescent="0.2">
      <c r="A102" s="113"/>
      <c r="B102" s="108"/>
      <c r="C102" s="108"/>
      <c r="D102" s="108"/>
      <c r="E102" s="215" t="s">
        <v>145</v>
      </c>
      <c r="F102" s="215"/>
      <c r="G102" s="148"/>
      <c r="H102" s="217"/>
      <c r="I102" s="137">
        <v>0</v>
      </c>
      <c r="J102" s="137">
        <v>0</v>
      </c>
      <c r="K102" s="137">
        <v>0</v>
      </c>
      <c r="L102" s="137">
        <v>0</v>
      </c>
      <c r="M102" s="137">
        <v>0</v>
      </c>
      <c r="N102" s="137">
        <v>302.06428999999997</v>
      </c>
      <c r="O102" s="197">
        <v>0</v>
      </c>
      <c r="P102" s="137">
        <v>381.37377000000004</v>
      </c>
      <c r="Q102" s="137">
        <v>2.9999999999999997E-5</v>
      </c>
      <c r="R102" s="137">
        <v>0</v>
      </c>
      <c r="S102" s="137">
        <v>0</v>
      </c>
      <c r="T102" s="137">
        <v>-51.736460000000001</v>
      </c>
      <c r="U102" s="138">
        <f t="shared" si="19"/>
        <v>631.70163000000002</v>
      </c>
      <c r="V102" s="139"/>
      <c r="W102" s="139"/>
      <c r="X102" s="139"/>
      <c r="Y102" s="135"/>
    </row>
    <row r="103" spans="1:25" ht="12.75" hidden="1" customHeight="1" x14ac:dyDescent="0.2">
      <c r="A103" s="113"/>
      <c r="B103" s="108"/>
      <c r="C103" s="108"/>
      <c r="D103" s="108"/>
      <c r="E103" s="215" t="s">
        <v>146</v>
      </c>
      <c r="F103" s="215"/>
      <c r="G103" s="148"/>
      <c r="H103" s="217"/>
      <c r="I103" s="137">
        <v>8.3993099999999998</v>
      </c>
      <c r="J103" s="137">
        <v>25.462820000000001</v>
      </c>
      <c r="K103" s="137">
        <v>12.84346</v>
      </c>
      <c r="L103" s="137">
        <v>21.300079999999998</v>
      </c>
      <c r="M103" s="137">
        <v>7.3093099999999991</v>
      </c>
      <c r="N103" s="137">
        <v>29.079369999999997</v>
      </c>
      <c r="O103" s="197">
        <v>66.143919999999994</v>
      </c>
      <c r="P103" s="137">
        <v>45.126700000000007</v>
      </c>
      <c r="Q103" s="137">
        <v>55.980720000000005</v>
      </c>
      <c r="R103" s="137">
        <f>28.64691+0.1</f>
        <v>28.74691</v>
      </c>
      <c r="S103" s="137">
        <f>17.39346</f>
        <v>17.393460000000001</v>
      </c>
      <c r="T103" s="137">
        <v>86.84344999999999</v>
      </c>
      <c r="U103" s="138">
        <f t="shared" si="19"/>
        <v>404.62950999999998</v>
      </c>
      <c r="V103" s="139"/>
      <c r="W103" s="139"/>
      <c r="X103" s="139"/>
      <c r="Y103" s="135"/>
    </row>
    <row r="104" spans="1:25" ht="12.75" hidden="1" customHeight="1" x14ac:dyDescent="0.2">
      <c r="A104" s="113"/>
      <c r="B104" s="108"/>
      <c r="C104" s="108"/>
      <c r="D104" s="108"/>
      <c r="E104" s="215" t="s">
        <v>147</v>
      </c>
      <c r="F104" s="215"/>
      <c r="G104" s="148"/>
      <c r="H104" s="217"/>
      <c r="I104" s="137">
        <v>0</v>
      </c>
      <c r="J104" s="137">
        <v>1.4</v>
      </c>
      <c r="K104" s="137">
        <v>0.6</v>
      </c>
      <c r="L104" s="137">
        <v>0</v>
      </c>
      <c r="M104" s="137">
        <v>0</v>
      </c>
      <c r="N104" s="137">
        <v>6.69</v>
      </c>
      <c r="O104" s="197">
        <v>3.9540000000000002</v>
      </c>
      <c r="P104" s="137">
        <v>1.5788200000000001</v>
      </c>
      <c r="Q104" s="137">
        <v>7.8070000000000004</v>
      </c>
      <c r="R104" s="137">
        <v>4.5510000000000002</v>
      </c>
      <c r="S104" s="137">
        <v>0</v>
      </c>
      <c r="T104" s="137">
        <v>2.4750000000000001</v>
      </c>
      <c r="U104" s="138">
        <f t="shared" si="19"/>
        <v>29.055820000000004</v>
      </c>
      <c r="V104" s="139"/>
      <c r="W104" s="139"/>
      <c r="X104" s="139"/>
      <c r="Y104" s="135"/>
    </row>
    <row r="105" spans="1:25" ht="12.75" hidden="1" customHeight="1" x14ac:dyDescent="0.2">
      <c r="A105" s="113"/>
      <c r="B105" s="108"/>
      <c r="C105" s="108"/>
      <c r="D105" s="108"/>
      <c r="E105" s="215" t="s">
        <v>148</v>
      </c>
      <c r="F105" s="215"/>
      <c r="G105" s="148"/>
      <c r="H105" s="217"/>
      <c r="I105" s="137">
        <v>0</v>
      </c>
      <c r="J105" s="137">
        <v>0</v>
      </c>
      <c r="K105" s="137">
        <v>0</v>
      </c>
      <c r="L105" s="137">
        <v>0</v>
      </c>
      <c r="M105" s="137">
        <v>0</v>
      </c>
      <c r="N105" s="137">
        <v>0</v>
      </c>
      <c r="O105" s="197">
        <v>0</v>
      </c>
      <c r="P105" s="137">
        <v>0</v>
      </c>
      <c r="Q105" s="137">
        <v>0</v>
      </c>
      <c r="R105" s="137">
        <v>0</v>
      </c>
      <c r="S105" s="137">
        <v>0</v>
      </c>
      <c r="T105" s="137">
        <v>0</v>
      </c>
      <c r="U105" s="138">
        <f t="shared" si="19"/>
        <v>0</v>
      </c>
      <c r="V105" s="139"/>
      <c r="W105" s="139"/>
      <c r="X105" s="139"/>
      <c r="Y105" s="135"/>
    </row>
    <row r="106" spans="1:25" ht="12.75" hidden="1" customHeight="1" x14ac:dyDescent="0.2">
      <c r="A106" s="113"/>
      <c r="B106" s="108"/>
      <c r="C106" s="108"/>
      <c r="D106" s="108"/>
      <c r="E106" s="215" t="s">
        <v>149</v>
      </c>
      <c r="F106" s="215"/>
      <c r="G106" s="148"/>
      <c r="H106" s="217"/>
      <c r="I106" s="137">
        <v>0</v>
      </c>
      <c r="J106" s="137">
        <v>4.8891</v>
      </c>
      <c r="K106" s="137">
        <v>63.836120000000001</v>
      </c>
      <c r="L106" s="137">
        <v>760.40255000000002</v>
      </c>
      <c r="M106" s="137">
        <v>688.91276000000005</v>
      </c>
      <c r="N106" s="137">
        <v>77.621660000000006</v>
      </c>
      <c r="O106" s="197">
        <v>1381.0489299999999</v>
      </c>
      <c r="P106" s="137">
        <v>-16.588349999999998</v>
      </c>
      <c r="Q106" s="137">
        <v>-6.0867899999999997</v>
      </c>
      <c r="R106" s="137">
        <v>-683.21487000000002</v>
      </c>
      <c r="S106" s="137">
        <v>0</v>
      </c>
      <c r="T106" s="137">
        <v>0</v>
      </c>
      <c r="U106" s="138">
        <f t="shared" si="19"/>
        <v>2270.8211099999999</v>
      </c>
      <c r="V106" s="139"/>
      <c r="W106" s="139"/>
      <c r="X106" s="139"/>
      <c r="Y106" s="135"/>
    </row>
    <row r="107" spans="1:25" ht="12.75" hidden="1" customHeight="1" x14ac:dyDescent="0.2">
      <c r="A107" s="113"/>
      <c r="B107" s="108"/>
      <c r="C107" s="108"/>
      <c r="D107" s="108"/>
      <c r="E107" s="215" t="s">
        <v>150</v>
      </c>
      <c r="F107" s="215"/>
      <c r="G107" s="148"/>
      <c r="H107" s="217"/>
      <c r="I107" s="137">
        <v>0</v>
      </c>
      <c r="J107" s="137">
        <v>0</v>
      </c>
      <c r="K107" s="137">
        <v>0</v>
      </c>
      <c r="L107" s="137">
        <v>0</v>
      </c>
      <c r="M107" s="137">
        <v>0</v>
      </c>
      <c r="N107" s="137">
        <v>0</v>
      </c>
      <c r="O107" s="197">
        <v>0</v>
      </c>
      <c r="P107" s="137">
        <v>0</v>
      </c>
      <c r="Q107" s="137">
        <v>0</v>
      </c>
      <c r="R107" s="137">
        <v>0</v>
      </c>
      <c r="S107" s="137">
        <v>0</v>
      </c>
      <c r="T107" s="137">
        <v>0</v>
      </c>
      <c r="U107" s="138">
        <f t="shared" si="19"/>
        <v>0</v>
      </c>
      <c r="V107" s="139"/>
      <c r="W107" s="139"/>
      <c r="X107" s="139"/>
      <c r="Y107" s="135"/>
    </row>
    <row r="108" spans="1:25" ht="12.75" hidden="1" customHeight="1" x14ac:dyDescent="0.2">
      <c r="A108" s="113"/>
      <c r="B108" s="108"/>
      <c r="C108" s="108"/>
      <c r="D108" s="108"/>
      <c r="E108" s="215" t="s">
        <v>151</v>
      </c>
      <c r="F108" s="215"/>
      <c r="G108" s="148"/>
      <c r="H108" s="217"/>
      <c r="I108" s="137">
        <v>21418.386079999997</v>
      </c>
      <c r="J108" s="137">
        <f>5294.84706+15.4534200000016</f>
        <v>5310.3004800000017</v>
      </c>
      <c r="K108" s="137">
        <v>12173.734470000003</v>
      </c>
      <c r="L108" s="137">
        <v>3936.64057</v>
      </c>
      <c r="M108" s="137">
        <v>257341.98372000002</v>
      </c>
      <c r="N108" s="137">
        <v>8837.938009999998</v>
      </c>
      <c r="O108" s="197">
        <v>12444.158860000001</v>
      </c>
      <c r="P108" s="137">
        <v>20865.484629999999</v>
      </c>
      <c r="Q108" s="137">
        <v>6704.1685099999995</v>
      </c>
      <c r="R108" s="137">
        <v>11040.651859999998</v>
      </c>
      <c r="S108" s="137">
        <v>4803.0249099999992</v>
      </c>
      <c r="T108" s="137">
        <v>72194.867499999993</v>
      </c>
      <c r="U108" s="138">
        <f t="shared" si="19"/>
        <v>437071.33960000001</v>
      </c>
      <c r="V108" s="139"/>
      <c r="W108" s="139"/>
      <c r="X108" s="139"/>
      <c r="Y108" s="135"/>
    </row>
    <row r="109" spans="1:25" ht="12.75" hidden="1" customHeight="1" x14ac:dyDescent="0.2">
      <c r="A109" s="113"/>
      <c r="B109" s="108"/>
      <c r="C109" s="108"/>
      <c r="D109" s="108"/>
      <c r="E109" s="215" t="s">
        <v>152</v>
      </c>
      <c r="F109" s="215"/>
      <c r="G109" s="148"/>
      <c r="H109" s="217"/>
      <c r="I109" s="137">
        <v>7.5509300000000001</v>
      </c>
      <c r="J109" s="137">
        <v>45.905910000000006</v>
      </c>
      <c r="K109" s="137">
        <v>-31.74268</v>
      </c>
      <c r="L109" s="137">
        <v>50.914449999999995</v>
      </c>
      <c r="M109" s="137">
        <v>8001.6513800000002</v>
      </c>
      <c r="N109" s="137">
        <v>87.799630000000008</v>
      </c>
      <c r="O109" s="197">
        <v>7757.2055399999999</v>
      </c>
      <c r="P109" s="137">
        <v>66.167930000000027</v>
      </c>
      <c r="Q109" s="137">
        <v>-28.74682</v>
      </c>
      <c r="R109" s="137">
        <f>715.7427+8.2949099999992</f>
        <v>724.03760999999918</v>
      </c>
      <c r="S109" s="137">
        <f>-313.60491</f>
        <v>-313.60491000000002</v>
      </c>
      <c r="T109" s="137">
        <v>-59.560269999999996</v>
      </c>
      <c r="U109" s="138">
        <f t="shared" si="19"/>
        <v>16307.578699999998</v>
      </c>
      <c r="V109" s="139"/>
      <c r="W109" s="139"/>
      <c r="X109" s="139"/>
      <c r="Y109" s="135"/>
    </row>
    <row r="110" spans="1:25" ht="12.75" hidden="1" customHeight="1" x14ac:dyDescent="0.2">
      <c r="A110" s="113"/>
      <c r="B110" s="108"/>
      <c r="C110" s="108"/>
      <c r="D110" s="108"/>
      <c r="E110" s="215" t="s">
        <v>153</v>
      </c>
      <c r="F110" s="215"/>
      <c r="G110" s="148"/>
      <c r="H110" s="217"/>
      <c r="I110" s="137">
        <v>4129.2898700000005</v>
      </c>
      <c r="J110" s="137">
        <f>340.8452+46</f>
        <v>386.84519999999998</v>
      </c>
      <c r="K110" s="137">
        <v>910.13306999999986</v>
      </c>
      <c r="L110" s="137">
        <v>809.14850000000001</v>
      </c>
      <c r="M110" s="137">
        <v>1156.7830900000001</v>
      </c>
      <c r="N110" s="137">
        <v>54650.248909999995</v>
      </c>
      <c r="O110" s="197">
        <v>-51199.166669999999</v>
      </c>
      <c r="P110" s="137">
        <v>-1537.4471600000002</v>
      </c>
      <c r="Q110" s="137">
        <v>7561.7412699999986</v>
      </c>
      <c r="R110" s="137">
        <f>2790.45981+541.0818</f>
        <v>3331.5416099999998</v>
      </c>
      <c r="S110" s="137">
        <f>-1335.66644</f>
        <v>-1335.66644</v>
      </c>
      <c r="T110" s="137">
        <v>517.35750999999993</v>
      </c>
      <c r="U110" s="138">
        <f t="shared" si="19"/>
        <v>19380.808759999996</v>
      </c>
      <c r="V110" s="139"/>
      <c r="W110" s="139"/>
      <c r="X110" s="139"/>
      <c r="Y110" s="135"/>
    </row>
    <row r="111" spans="1:25" ht="12.75" hidden="1" customHeight="1" x14ac:dyDescent="0.2">
      <c r="A111" s="113"/>
      <c r="B111" s="108"/>
      <c r="C111" s="108"/>
      <c r="D111" s="108"/>
      <c r="E111" s="215" t="s">
        <v>154</v>
      </c>
      <c r="F111" s="215"/>
      <c r="G111" s="148"/>
      <c r="H111" s="217"/>
      <c r="I111" s="136">
        <v>0.04</v>
      </c>
      <c r="J111" s="136">
        <v>2.5000000000000001E-2</v>
      </c>
      <c r="K111" s="137">
        <v>0</v>
      </c>
      <c r="L111" s="218">
        <v>0</v>
      </c>
      <c r="M111" s="137">
        <v>0</v>
      </c>
      <c r="N111" s="137">
        <v>0.39</v>
      </c>
      <c r="O111" s="197">
        <v>0</v>
      </c>
      <c r="P111" s="137">
        <v>0</v>
      </c>
      <c r="Q111" s="137">
        <v>0.03</v>
      </c>
      <c r="R111" s="137">
        <v>0</v>
      </c>
      <c r="S111" s="137">
        <v>0</v>
      </c>
      <c r="T111" s="137">
        <v>0</v>
      </c>
      <c r="U111" s="138">
        <f t="shared" si="19"/>
        <v>0.48499999999999999</v>
      </c>
      <c r="V111" s="139"/>
      <c r="W111" s="139"/>
      <c r="X111" s="139"/>
      <c r="Y111" s="135"/>
    </row>
    <row r="112" spans="1:25" ht="12.75" customHeight="1" x14ac:dyDescent="0.2">
      <c r="A112" s="113"/>
      <c r="B112" s="108"/>
      <c r="D112" s="154"/>
      <c r="E112" s="161" t="s">
        <v>92</v>
      </c>
      <c r="F112" s="148"/>
      <c r="G112" s="148"/>
      <c r="H112" s="137"/>
      <c r="I112" s="136"/>
      <c r="J112" s="136"/>
      <c r="K112" s="137"/>
      <c r="L112" s="137"/>
      <c r="M112" s="137"/>
      <c r="N112" s="137"/>
      <c r="O112" s="137"/>
      <c r="P112" s="137"/>
      <c r="Q112" s="137"/>
      <c r="R112" s="137"/>
      <c r="S112" s="137"/>
      <c r="T112" s="137"/>
      <c r="U112" s="138"/>
      <c r="V112" s="139"/>
      <c r="W112" s="139"/>
      <c r="X112" s="139"/>
      <c r="Y112" s="135"/>
    </row>
    <row r="113" spans="1:35" s="135" customFormat="1" ht="12.75" customHeight="1" x14ac:dyDescent="0.2">
      <c r="A113" s="141"/>
      <c r="B113" s="130"/>
      <c r="C113" s="219"/>
      <c r="D113" s="130"/>
      <c r="E113" s="208" t="s">
        <v>155</v>
      </c>
      <c r="F113" s="154"/>
      <c r="G113" s="213" t="s">
        <v>169</v>
      </c>
      <c r="H113" s="220">
        <f>+[40]original!$F$6</f>
        <v>25590572</v>
      </c>
      <c r="I113" s="221">
        <f>+[41]original!$G$6</f>
        <v>1236489</v>
      </c>
      <c r="J113" s="221">
        <f>+[42]original!$H$6</f>
        <v>2807140</v>
      </c>
      <c r="K113" s="221">
        <f>+[43]original!$I$6</f>
        <v>3319954</v>
      </c>
      <c r="L113" s="221">
        <f>+[44]original!$J$6</f>
        <v>3550323</v>
      </c>
      <c r="M113" s="221">
        <f>+[45]original!$K$6</f>
        <v>3161507</v>
      </c>
      <c r="N113" s="221">
        <f>+[46]original!$L$6</f>
        <v>1941577</v>
      </c>
      <c r="O113" s="221">
        <f>+[47]original!$M$6</f>
        <v>2581412</v>
      </c>
      <c r="P113" s="221">
        <f>+[48]original!$N$6</f>
        <v>900558</v>
      </c>
      <c r="Q113" s="221">
        <f>+[49]original!$O$6</f>
        <v>2698953</v>
      </c>
      <c r="R113" s="221">
        <f>+[50]original!$P$6</f>
        <v>1360720</v>
      </c>
      <c r="S113" s="221">
        <f>+[40]original!$Q$6</f>
        <v>574224</v>
      </c>
      <c r="T113" s="221">
        <f>+[51]original!$R$6</f>
        <v>1637061</v>
      </c>
      <c r="U113" s="222">
        <f>SUM(I113:T113)</f>
        <v>25769918</v>
      </c>
      <c r="V113" s="165"/>
      <c r="W113" s="165"/>
      <c r="X113" s="165"/>
      <c r="AA113" s="135" t="e">
        <f>+#REF!</f>
        <v>#REF!</v>
      </c>
      <c r="AB113" s="135" t="e">
        <f>+#REF!</f>
        <v>#REF!</v>
      </c>
      <c r="AC113" s="105" t="str">
        <f>+A132</f>
        <v>Revenue collected on behalf of the Provincial Authorities</v>
      </c>
      <c r="AE113" s="105"/>
    </row>
    <row r="114" spans="1:35" ht="12.75" customHeight="1" x14ac:dyDescent="0.2">
      <c r="A114" s="223" t="s">
        <v>157</v>
      </c>
      <c r="B114" s="183"/>
      <c r="C114" s="183"/>
      <c r="D114" s="183"/>
      <c r="E114" s="183"/>
      <c r="F114" s="183"/>
      <c r="G114" s="186"/>
      <c r="H114" s="224">
        <f>H80+H77</f>
        <v>1200785660.997653</v>
      </c>
      <c r="I114" s="224">
        <f>I80+I77</f>
        <v>63095740.380769998</v>
      </c>
      <c r="J114" s="224">
        <f t="shared" ref="J114:T114" si="21">J80+J77</f>
        <v>68106446.022430018</v>
      </c>
      <c r="K114" s="224">
        <f t="shared" si="21"/>
        <v>108554101.37664002</v>
      </c>
      <c r="L114" s="224">
        <f t="shared" si="21"/>
        <v>62846312.960169993</v>
      </c>
      <c r="M114" s="224">
        <f t="shared" si="21"/>
        <v>101855148.66649999</v>
      </c>
      <c r="N114" s="224">
        <f t="shared" si="21"/>
        <v>105679255.27216996</v>
      </c>
      <c r="O114" s="224">
        <f t="shared" si="21"/>
        <v>83230717.11586</v>
      </c>
      <c r="P114" s="224">
        <f t="shared" si="21"/>
        <v>99218194.778589994</v>
      </c>
      <c r="Q114" s="224">
        <f t="shared" si="21"/>
        <v>176370693.76949999</v>
      </c>
      <c r="R114" s="224">
        <f>R80+R77</f>
        <v>87529069.714939982</v>
      </c>
      <c r="S114" s="224">
        <f t="shared" si="21"/>
        <v>132692829.92872997</v>
      </c>
      <c r="T114" s="224">
        <f t="shared" si="21"/>
        <v>146956569.37684995</v>
      </c>
      <c r="U114" s="225">
        <f>U80+U77</f>
        <v>1236135079.3631496</v>
      </c>
      <c r="V114" s="114"/>
      <c r="W114" s="114"/>
      <c r="X114" s="114"/>
      <c r="Y114" s="135"/>
      <c r="AA114" s="105" t="e">
        <f>+#REF!</f>
        <v>#REF!</v>
      </c>
      <c r="AB114" s="105" t="e">
        <f>+#REF!</f>
        <v>#REF!</v>
      </c>
      <c r="AC114" s="105" t="str">
        <f>+E94</f>
        <v xml:space="preserve"> Mineral and petroleum royalties</v>
      </c>
    </row>
    <row r="115" spans="1:35" ht="12.75" customHeight="1" x14ac:dyDescent="0.2">
      <c r="A115" s="699" t="s">
        <v>158</v>
      </c>
      <c r="B115" s="700"/>
      <c r="C115" s="700"/>
      <c r="D115" s="700"/>
      <c r="E115" s="700"/>
      <c r="F115" s="700"/>
      <c r="G115" s="700"/>
      <c r="H115" s="224"/>
      <c r="I115" s="224"/>
      <c r="J115" s="224"/>
      <c r="K115" s="224"/>
      <c r="L115" s="224"/>
      <c r="M115" s="224"/>
      <c r="N115" s="224"/>
      <c r="O115" s="224"/>
      <c r="P115" s="224"/>
      <c r="Q115" s="224"/>
      <c r="R115" s="224"/>
      <c r="S115" s="224"/>
      <c r="T115" s="224"/>
      <c r="U115" s="225"/>
      <c r="V115" s="114"/>
      <c r="W115" s="114"/>
      <c r="X115" s="114"/>
      <c r="Y115" s="135"/>
      <c r="AA115" s="201" t="e">
        <f>SUM(AA94:AA114)</f>
        <v>#REF!</v>
      </c>
      <c r="AB115" s="175" t="e">
        <f>SUM(AB94:AB114)</f>
        <v>#REF!</v>
      </c>
      <c r="AC115" s="105" t="s">
        <v>159</v>
      </c>
    </row>
    <row r="116" spans="1:35" ht="12" customHeight="1" x14ac:dyDescent="0.2">
      <c r="A116" s="226" t="s">
        <v>157</v>
      </c>
      <c r="B116" s="227"/>
      <c r="C116" s="228"/>
      <c r="D116" s="110"/>
      <c r="E116" s="110"/>
      <c r="F116" s="110"/>
      <c r="G116" s="110"/>
      <c r="H116" s="229">
        <f>+H114</f>
        <v>1200785660.997653</v>
      </c>
      <c r="I116" s="230">
        <f>+I114</f>
        <v>63095740.380769998</v>
      </c>
      <c r="J116" s="230">
        <f t="shared" ref="J116:T116" si="22">+J114</f>
        <v>68106446.022430018</v>
      </c>
      <c r="K116" s="230">
        <f t="shared" si="22"/>
        <v>108554101.37664002</v>
      </c>
      <c r="L116" s="230">
        <f t="shared" si="22"/>
        <v>62846312.960169993</v>
      </c>
      <c r="M116" s="229">
        <f t="shared" si="22"/>
        <v>101855148.66649999</v>
      </c>
      <c r="N116" s="230">
        <f t="shared" si="22"/>
        <v>105679255.27216996</v>
      </c>
      <c r="O116" s="230">
        <f t="shared" si="22"/>
        <v>83230717.11586</v>
      </c>
      <c r="P116" s="230">
        <f t="shared" si="22"/>
        <v>99218194.778589994</v>
      </c>
      <c r="Q116" s="230">
        <f t="shared" si="22"/>
        <v>176370693.76949999</v>
      </c>
      <c r="R116" s="230">
        <f t="shared" si="22"/>
        <v>87529069.714939982</v>
      </c>
      <c r="S116" s="230">
        <f t="shared" si="22"/>
        <v>132692829.92872997</v>
      </c>
      <c r="T116" s="230">
        <f t="shared" si="22"/>
        <v>146956569.37684995</v>
      </c>
      <c r="U116" s="231">
        <f>+U114</f>
        <v>1236135079.3631496</v>
      </c>
      <c r="V116" s="232"/>
      <c r="W116" s="232"/>
      <c r="X116" s="232"/>
      <c r="Y116" s="135"/>
      <c r="AB116" s="93">
        <v>1430441906</v>
      </c>
      <c r="AC116" s="105" t="s">
        <v>160</v>
      </c>
      <c r="AI116" s="105" t="s">
        <v>161</v>
      </c>
    </row>
    <row r="117" spans="1:35" s="175" customFormat="1" ht="12.75" customHeight="1" x14ac:dyDescent="0.2">
      <c r="A117" s="233" t="s">
        <v>162</v>
      </c>
      <c r="B117" s="234"/>
      <c r="C117" s="234"/>
      <c r="D117" s="234"/>
      <c r="E117" s="234"/>
      <c r="F117" s="234"/>
      <c r="G117" s="235"/>
      <c r="I117" s="236">
        <f>SUM(I118:I119)</f>
        <v>484218.60211000009</v>
      </c>
      <c r="J117" s="236">
        <f t="shared" ref="J117:U117" si="23">SUM(J118:J119)</f>
        <v>576902.79968999978</v>
      </c>
      <c r="K117" s="236">
        <f t="shared" si="23"/>
        <v>3175.9396899994463</v>
      </c>
      <c r="L117" s="236">
        <f t="shared" si="23"/>
        <v>-251746.45064999955</v>
      </c>
      <c r="M117" s="236">
        <f t="shared" si="23"/>
        <v>-340255.45139000006</v>
      </c>
      <c r="N117" s="236">
        <f t="shared" si="23"/>
        <v>144233.66581000015</v>
      </c>
      <c r="O117" s="236">
        <f t="shared" si="23"/>
        <v>692026.40187999979</v>
      </c>
      <c r="P117" s="236">
        <f t="shared" si="23"/>
        <v>-114855.75005000015</v>
      </c>
      <c r="Q117" s="236">
        <f t="shared" si="23"/>
        <v>-9229.1244299970567</v>
      </c>
      <c r="R117" s="236">
        <f t="shared" si="23"/>
        <v>149889.05700000003</v>
      </c>
      <c r="S117" s="236">
        <f t="shared" si="23"/>
        <v>410265.33666000026</v>
      </c>
      <c r="T117" s="236">
        <f t="shared" si="23"/>
        <v>138866.90276999958</v>
      </c>
      <c r="U117" s="237">
        <f t="shared" si="23"/>
        <v>1883491.9290900007</v>
      </c>
      <c r="V117" s="232"/>
      <c r="W117" s="232"/>
      <c r="X117" s="232"/>
      <c r="Y117" s="201"/>
      <c r="AA117" s="175" t="e">
        <f>+AA115-AB115</f>
        <v>#REF!</v>
      </c>
      <c r="AB117" s="105" t="e">
        <f>+AB115-AB116</f>
        <v>#REF!</v>
      </c>
      <c r="AC117" s="105" t="s">
        <v>163</v>
      </c>
    </row>
    <row r="118" spans="1:35" ht="12.75" customHeight="1" x14ac:dyDescent="0.2">
      <c r="A118" s="701" t="s">
        <v>164</v>
      </c>
      <c r="B118" s="702"/>
      <c r="C118" s="702"/>
      <c r="D118" s="702"/>
      <c r="E118" s="702"/>
      <c r="F118" s="702"/>
      <c r="G118" s="703"/>
      <c r="H118" s="162"/>
      <c r="I118" s="136">
        <f>-I80+I94+I113</f>
        <v>-596423.39788999991</v>
      </c>
      <c r="J118" s="136">
        <f t="shared" ref="J118:T118" si="24">-J80+J94+J113</f>
        <v>-368947.20031000022</v>
      </c>
      <c r="K118" s="136">
        <f t="shared" si="24"/>
        <v>-344052.06031000055</v>
      </c>
      <c r="L118" s="136">
        <f t="shared" si="24"/>
        <v>-571925.45064999955</v>
      </c>
      <c r="M118" s="136">
        <f t="shared" si="24"/>
        <v>-786426.45139000006</v>
      </c>
      <c r="N118" s="136">
        <f t="shared" si="24"/>
        <v>-494422.33418999985</v>
      </c>
      <c r="O118" s="136">
        <f>-O80+O94+O113</f>
        <v>-335074.59812000021</v>
      </c>
      <c r="P118" s="136">
        <f t="shared" si="24"/>
        <v>-909862.75005000015</v>
      </c>
      <c r="Q118" s="136">
        <f>-Q80+Q94+Q113</f>
        <v>-843437.12442999706</v>
      </c>
      <c r="R118" s="136">
        <f t="shared" si="24"/>
        <v>-603558.94299999997</v>
      </c>
      <c r="S118" s="136">
        <f>-S80+S94+S113</f>
        <v>-1059801.6633399997</v>
      </c>
      <c r="T118" s="136">
        <f t="shared" si="24"/>
        <v>-2828420.0972300004</v>
      </c>
      <c r="U118" s="195">
        <f>-U80+U94+U113</f>
        <v>-9742352.0709099993</v>
      </c>
      <c r="V118" s="139"/>
      <c r="W118" s="139"/>
      <c r="X118" s="139"/>
      <c r="Y118" s="135"/>
      <c r="AB118" s="175">
        <v>-51547</v>
      </c>
      <c r="AC118" s="105" t="s">
        <v>165</v>
      </c>
    </row>
    <row r="119" spans="1:35" ht="12.75" customHeight="1" x14ac:dyDescent="0.2">
      <c r="A119" s="238" t="s">
        <v>166</v>
      </c>
      <c r="B119" s="239"/>
      <c r="C119" s="239"/>
      <c r="D119" s="239"/>
      <c r="E119" s="239"/>
      <c r="F119" s="239"/>
      <c r="G119" s="239"/>
      <c r="H119" s="162"/>
      <c r="I119" s="136">
        <v>1080642</v>
      </c>
      <c r="J119" s="136">
        <f>946604-351-265-138</f>
        <v>945850</v>
      </c>
      <c r="K119" s="136">
        <f>352203-4975</f>
        <v>347228</v>
      </c>
      <c r="L119" s="136">
        <f>320743-204-360</f>
        <v>320179</v>
      </c>
      <c r="M119" s="136">
        <f>658418-97-342-655-335-1193-209625</f>
        <v>446171</v>
      </c>
      <c r="N119" s="136">
        <f>640054-1398</f>
        <v>638656</v>
      </c>
      <c r="O119" s="136">
        <f>1029173-2070-2</f>
        <v>1027101</v>
      </c>
      <c r="P119" s="136">
        <f>797466-2412-47</f>
        <v>795007</v>
      </c>
      <c r="Q119" s="136">
        <f>834366-1-157</f>
        <v>834208</v>
      </c>
      <c r="R119" s="136">
        <f>755778-2330</f>
        <v>753448</v>
      </c>
      <c r="S119" s="240">
        <f>1472208-2141</f>
        <v>1470067</v>
      </c>
      <c r="T119" s="240">
        <f>3076885-102-24-109472</f>
        <v>2967287</v>
      </c>
      <c r="U119" s="241">
        <f t="shared" ref="U119:U131" si="25">SUM(I119:T119)</f>
        <v>11625844</v>
      </c>
      <c r="V119" s="139"/>
      <c r="W119" s="139"/>
      <c r="X119" s="139"/>
      <c r="Y119" s="135"/>
      <c r="AB119" s="105" t="e">
        <f>-AB117-AB118</f>
        <v>#REF!</v>
      </c>
      <c r="AC119" s="105" t="s">
        <v>167</v>
      </c>
    </row>
    <row r="120" spans="1:35" s="175" customFormat="1" ht="12.75" customHeight="1" x14ac:dyDescent="0.2">
      <c r="A120" s="171" t="s">
        <v>168</v>
      </c>
      <c r="C120" s="234"/>
      <c r="D120" s="114"/>
      <c r="E120" s="114"/>
      <c r="F120" s="114"/>
      <c r="G120" s="213" t="s">
        <v>320</v>
      </c>
      <c r="H120" s="242"/>
      <c r="I120" s="204">
        <f t="shared" ref="I120:T120" si="26">SUM(I121:I131)</f>
        <v>1280</v>
      </c>
      <c r="J120" s="204">
        <f t="shared" si="26"/>
        <v>326479</v>
      </c>
      <c r="K120" s="204">
        <f t="shared" si="26"/>
        <v>9200</v>
      </c>
      <c r="L120" s="204">
        <f t="shared" si="26"/>
        <v>136714</v>
      </c>
      <c r="M120" s="204">
        <f t="shared" si="26"/>
        <v>209925</v>
      </c>
      <c r="N120" s="204">
        <f t="shared" si="26"/>
        <v>308531</v>
      </c>
      <c r="O120" s="204">
        <f t="shared" si="26"/>
        <v>713</v>
      </c>
      <c r="P120" s="243">
        <f t="shared" si="26"/>
        <v>558807</v>
      </c>
      <c r="Q120" s="243">
        <f t="shared" si="26"/>
        <v>33192</v>
      </c>
      <c r="R120" s="243">
        <f t="shared" si="26"/>
        <v>51269</v>
      </c>
      <c r="S120" s="243">
        <f t="shared" si="26"/>
        <v>5627</v>
      </c>
      <c r="T120" s="243">
        <f t="shared" si="26"/>
        <v>149722</v>
      </c>
      <c r="U120" s="244">
        <f t="shared" si="25"/>
        <v>1791459</v>
      </c>
      <c r="V120" s="119"/>
      <c r="W120" s="119"/>
      <c r="X120" s="119"/>
      <c r="Y120" s="201"/>
    </row>
    <row r="121" spans="1:35" ht="12.75" customHeight="1" x14ac:dyDescent="0.2">
      <c r="A121" s="113"/>
      <c r="E121" s="105" t="s">
        <v>170</v>
      </c>
      <c r="F121" s="108"/>
      <c r="G121" s="108"/>
      <c r="H121" s="162"/>
      <c r="I121" s="136">
        <v>0</v>
      </c>
      <c r="J121" s="136">
        <v>326092</v>
      </c>
      <c r="K121" s="136">
        <v>2563</v>
      </c>
      <c r="L121" s="136">
        <v>135891</v>
      </c>
      <c r="M121" s="136">
        <v>0</v>
      </c>
      <c r="N121" s="136">
        <v>308320</v>
      </c>
      <c r="O121" s="136">
        <v>0</v>
      </c>
      <c r="P121" s="136">
        <v>558257</v>
      </c>
      <c r="Q121" s="136">
        <v>0</v>
      </c>
      <c r="R121" s="136">
        <v>50163</v>
      </c>
      <c r="S121" s="136">
        <v>4600</v>
      </c>
      <c r="T121" s="136">
        <v>119088</v>
      </c>
      <c r="U121" s="241">
        <f t="shared" si="25"/>
        <v>1504974</v>
      </c>
      <c r="V121" s="139"/>
      <c r="W121" s="139"/>
      <c r="X121" s="139"/>
      <c r="Y121" s="135"/>
      <c r="AB121" s="175" t="s">
        <v>171</v>
      </c>
    </row>
    <row r="122" spans="1:35" ht="12.75" customHeight="1" x14ac:dyDescent="0.2">
      <c r="A122" s="113"/>
      <c r="E122" s="105" t="s">
        <v>172</v>
      </c>
      <c r="F122" s="108"/>
      <c r="G122" s="108"/>
      <c r="H122" s="162"/>
      <c r="I122" s="136">
        <v>1484</v>
      </c>
      <c r="J122" s="136">
        <v>387</v>
      </c>
      <c r="K122" s="136">
        <v>6637</v>
      </c>
      <c r="L122" s="136">
        <v>619</v>
      </c>
      <c r="M122" s="136">
        <v>300</v>
      </c>
      <c r="N122" s="136">
        <v>211</v>
      </c>
      <c r="O122" s="136">
        <v>713</v>
      </c>
      <c r="P122" s="136">
        <v>550</v>
      </c>
      <c r="Q122" s="136">
        <v>30575</v>
      </c>
      <c r="R122" s="136">
        <v>1106</v>
      </c>
      <c r="S122" s="136">
        <v>1027</v>
      </c>
      <c r="T122" s="136">
        <v>1134</v>
      </c>
      <c r="U122" s="241">
        <f t="shared" si="25"/>
        <v>44743</v>
      </c>
      <c r="V122" s="139"/>
      <c r="W122" s="139"/>
      <c r="X122" s="139"/>
      <c r="Y122" s="135"/>
      <c r="AB122" s="105" t="e">
        <f>+#REF!</f>
        <v>#REF!</v>
      </c>
      <c r="AC122" s="135" t="str">
        <f>+'[52]Current year TB'!$L$17</f>
        <v>Inland revenue</v>
      </c>
    </row>
    <row r="123" spans="1:35" ht="12.75" customHeight="1" x14ac:dyDescent="0.2">
      <c r="A123" s="113"/>
      <c r="E123" s="245" t="s">
        <v>173</v>
      </c>
      <c r="F123" s="108"/>
      <c r="G123" s="108"/>
      <c r="H123" s="162"/>
      <c r="I123" s="136">
        <v>0</v>
      </c>
      <c r="J123" s="136">
        <v>0</v>
      </c>
      <c r="K123" s="136">
        <v>0</v>
      </c>
      <c r="L123" s="136">
        <v>0</v>
      </c>
      <c r="M123" s="136">
        <v>0</v>
      </c>
      <c r="N123" s="136">
        <v>0</v>
      </c>
      <c r="O123" s="136">
        <v>0</v>
      </c>
      <c r="P123" s="136">
        <v>0</v>
      </c>
      <c r="Q123" s="136">
        <v>0</v>
      </c>
      <c r="R123" s="136">
        <v>0</v>
      </c>
      <c r="S123" s="136">
        <v>0</v>
      </c>
      <c r="T123" s="136">
        <v>1500</v>
      </c>
      <c r="U123" s="241">
        <f t="shared" si="25"/>
        <v>1500</v>
      </c>
      <c r="V123" s="139"/>
      <c r="W123" s="139"/>
      <c r="X123" s="139"/>
      <c r="Y123" s="135"/>
      <c r="AC123" s="135"/>
    </row>
    <row r="124" spans="1:35" ht="12.75" customHeight="1" x14ac:dyDescent="0.2">
      <c r="A124" s="113"/>
      <c r="E124" s="245" t="s">
        <v>174</v>
      </c>
      <c r="F124" s="108"/>
      <c r="G124" s="108"/>
      <c r="H124" s="162"/>
      <c r="I124" s="136">
        <v>0</v>
      </c>
      <c r="J124" s="136">
        <v>0</v>
      </c>
      <c r="K124" s="136">
        <v>0</v>
      </c>
      <c r="L124" s="136">
        <v>0</v>
      </c>
      <c r="M124" s="136">
        <v>0</v>
      </c>
      <c r="N124" s="136">
        <v>0</v>
      </c>
      <c r="O124" s="136">
        <v>0</v>
      </c>
      <c r="P124" s="136">
        <v>0</v>
      </c>
      <c r="Q124" s="136">
        <v>0</v>
      </c>
      <c r="R124" s="136">
        <v>0</v>
      </c>
      <c r="S124" s="136">
        <v>0</v>
      </c>
      <c r="T124" s="136">
        <v>28000</v>
      </c>
      <c r="U124" s="241">
        <f t="shared" si="25"/>
        <v>28000</v>
      </c>
      <c r="V124" s="139"/>
      <c r="W124" s="139"/>
      <c r="X124" s="139"/>
      <c r="Y124" s="135"/>
      <c r="AC124" s="135"/>
    </row>
    <row r="125" spans="1:35" ht="12.75" hidden="1" customHeight="1" x14ac:dyDescent="0.2">
      <c r="A125" s="113"/>
      <c r="E125" s="105" t="s">
        <v>175</v>
      </c>
      <c r="F125" s="108"/>
      <c r="G125" s="108"/>
      <c r="H125" s="162"/>
      <c r="I125" s="136">
        <v>0</v>
      </c>
      <c r="J125" s="136">
        <v>0</v>
      </c>
      <c r="K125" s="136">
        <v>0</v>
      </c>
      <c r="L125" s="136">
        <v>0</v>
      </c>
      <c r="M125" s="136">
        <v>0</v>
      </c>
      <c r="N125" s="136">
        <v>0</v>
      </c>
      <c r="O125" s="136">
        <v>0</v>
      </c>
      <c r="P125" s="136">
        <v>0</v>
      </c>
      <c r="Q125" s="136">
        <v>0</v>
      </c>
      <c r="R125" s="136">
        <v>0</v>
      </c>
      <c r="S125" s="136">
        <v>0</v>
      </c>
      <c r="T125" s="136">
        <v>0</v>
      </c>
      <c r="U125" s="241">
        <f t="shared" si="25"/>
        <v>0</v>
      </c>
      <c r="V125" s="139"/>
      <c r="W125" s="139"/>
      <c r="X125" s="139"/>
      <c r="Y125" s="135"/>
      <c r="AC125" s="135"/>
    </row>
    <row r="126" spans="1:35" ht="13.95" customHeight="1" x14ac:dyDescent="0.2">
      <c r="A126" s="113"/>
      <c r="B126" s="108"/>
      <c r="E126" s="105" t="s">
        <v>176</v>
      </c>
      <c r="F126" s="108"/>
      <c r="G126" s="108"/>
      <c r="H126" s="162"/>
      <c r="I126" s="136">
        <v>0</v>
      </c>
      <c r="J126" s="136">
        <v>0</v>
      </c>
      <c r="K126" s="136">
        <v>0</v>
      </c>
      <c r="L126" s="136">
        <v>0</v>
      </c>
      <c r="M126" s="136">
        <v>0</v>
      </c>
      <c r="N126" s="136">
        <v>0</v>
      </c>
      <c r="O126" s="136">
        <v>0</v>
      </c>
      <c r="P126" s="136">
        <v>0</v>
      </c>
      <c r="Q126" s="136">
        <v>2617</v>
      </c>
      <c r="R126" s="136">
        <v>0</v>
      </c>
      <c r="S126" s="136">
        <v>0</v>
      </c>
      <c r="T126" s="136">
        <v>0</v>
      </c>
      <c r="U126" s="241">
        <f t="shared" si="25"/>
        <v>2617</v>
      </c>
      <c r="V126" s="139"/>
      <c r="W126" s="139"/>
      <c r="X126" s="139"/>
      <c r="Y126" s="135"/>
      <c r="AB126" s="105" t="e">
        <f>+#REF!</f>
        <v>#REF!</v>
      </c>
      <c r="AC126" s="105" t="s">
        <v>177</v>
      </c>
    </row>
    <row r="127" spans="1:35" ht="12.75" hidden="1" customHeight="1" x14ac:dyDescent="0.2">
      <c r="A127" s="113"/>
      <c r="B127" s="246"/>
      <c r="E127" s="105" t="s">
        <v>178</v>
      </c>
      <c r="F127" s="108"/>
      <c r="G127" s="108"/>
      <c r="H127" s="162"/>
      <c r="I127" s="136">
        <v>0</v>
      </c>
      <c r="J127" s="136">
        <v>0</v>
      </c>
      <c r="K127" s="136">
        <v>0</v>
      </c>
      <c r="L127" s="136">
        <v>0</v>
      </c>
      <c r="M127" s="136">
        <v>0</v>
      </c>
      <c r="N127" s="136">
        <v>0</v>
      </c>
      <c r="O127" s="136">
        <v>0</v>
      </c>
      <c r="P127" s="136">
        <v>0</v>
      </c>
      <c r="Q127" s="136">
        <v>0</v>
      </c>
      <c r="R127" s="136">
        <v>0</v>
      </c>
      <c r="S127" s="136">
        <v>0</v>
      </c>
      <c r="T127" s="136">
        <v>0</v>
      </c>
      <c r="U127" s="241">
        <f t="shared" si="25"/>
        <v>0</v>
      </c>
      <c r="V127" s="139"/>
      <c r="W127" s="139"/>
      <c r="X127" s="139"/>
      <c r="Y127" s="135"/>
      <c r="AB127" s="175" t="e">
        <f>SUM(AB122:AB126)</f>
        <v>#REF!</v>
      </c>
    </row>
    <row r="128" spans="1:35" ht="12.75" hidden="1" customHeight="1" x14ac:dyDescent="0.2">
      <c r="A128" s="113"/>
      <c r="B128" s="108"/>
      <c r="E128" s="105" t="s">
        <v>179</v>
      </c>
      <c r="F128" s="108"/>
      <c r="G128" s="108"/>
      <c r="H128" s="162"/>
      <c r="I128" s="136">
        <v>0</v>
      </c>
      <c r="J128" s="136">
        <v>0</v>
      </c>
      <c r="K128" s="136">
        <v>0</v>
      </c>
      <c r="L128" s="136">
        <v>0</v>
      </c>
      <c r="M128" s="136">
        <v>0</v>
      </c>
      <c r="N128" s="136">
        <v>0</v>
      </c>
      <c r="O128" s="136">
        <v>0</v>
      </c>
      <c r="P128" s="136">
        <v>0</v>
      </c>
      <c r="Q128" s="136">
        <v>0</v>
      </c>
      <c r="R128" s="136">
        <v>0</v>
      </c>
      <c r="S128" s="136">
        <v>0</v>
      </c>
      <c r="T128" s="136">
        <v>0</v>
      </c>
      <c r="U128" s="241">
        <f>SUM(I128:T128)</f>
        <v>0</v>
      </c>
      <c r="V128" s="139"/>
      <c r="W128" s="139"/>
      <c r="X128" s="139"/>
      <c r="Y128" s="135"/>
      <c r="AB128" s="175" t="e">
        <f>SUM(AB127:AB131)</f>
        <v>#REF!</v>
      </c>
      <c r="AC128" s="105" t="s">
        <v>180</v>
      </c>
    </row>
    <row r="129" spans="1:29" ht="12.75" customHeight="1" thickBot="1" x14ac:dyDescent="0.25">
      <c r="A129" s="113"/>
      <c r="E129" s="246" t="s">
        <v>181</v>
      </c>
      <c r="F129" s="108"/>
      <c r="G129" s="108"/>
      <c r="H129" s="162"/>
      <c r="I129" s="136">
        <v>0</v>
      </c>
      <c r="J129" s="136">
        <v>0</v>
      </c>
      <c r="K129" s="136">
        <v>0</v>
      </c>
      <c r="L129" s="136">
        <v>0</v>
      </c>
      <c r="M129" s="136">
        <v>209625</v>
      </c>
      <c r="N129" s="136">
        <v>0</v>
      </c>
      <c r="O129" s="136">
        <v>0</v>
      </c>
      <c r="P129" s="136">
        <v>0</v>
      </c>
      <c r="Q129" s="136">
        <v>0</v>
      </c>
      <c r="R129" s="136">
        <v>0</v>
      </c>
      <c r="S129" s="136">
        <v>0</v>
      </c>
      <c r="T129" s="136">
        <v>0</v>
      </c>
      <c r="U129" s="241">
        <f>SUM(I129:T129)</f>
        <v>209625</v>
      </c>
      <c r="V129" s="139"/>
      <c r="W129" s="139"/>
      <c r="X129" s="139"/>
      <c r="Y129" s="135"/>
      <c r="AB129" s="247" t="e">
        <f>SUM(AB128:AB131)</f>
        <v>#REF!</v>
      </c>
    </row>
    <row r="130" spans="1:29" ht="12.75" customHeight="1" thickTop="1" x14ac:dyDescent="0.2">
      <c r="A130" s="113"/>
      <c r="B130" s="246"/>
      <c r="E130" s="105" t="s">
        <v>182</v>
      </c>
      <c r="F130" s="108"/>
      <c r="G130" s="108"/>
      <c r="H130" s="162"/>
      <c r="I130" s="136">
        <v>-204</v>
      </c>
      <c r="J130" s="136">
        <v>0</v>
      </c>
      <c r="K130" s="136">
        <v>0</v>
      </c>
      <c r="L130" s="136">
        <v>204</v>
      </c>
      <c r="M130" s="136">
        <v>0</v>
      </c>
      <c r="N130" s="136">
        <v>0</v>
      </c>
      <c r="O130" s="139">
        <v>0</v>
      </c>
      <c r="P130" s="137">
        <v>0</v>
      </c>
      <c r="Q130" s="136">
        <v>0</v>
      </c>
      <c r="R130" s="136">
        <v>0</v>
      </c>
      <c r="S130" s="136">
        <v>0</v>
      </c>
      <c r="T130" s="136">
        <v>0</v>
      </c>
      <c r="U130" s="241">
        <f t="shared" si="25"/>
        <v>0</v>
      </c>
      <c r="V130" s="139"/>
      <c r="W130" s="139"/>
      <c r="X130" s="139"/>
      <c r="Y130" s="135"/>
      <c r="AB130" s="105" t="e">
        <f>+#REF!</f>
        <v>#REF!</v>
      </c>
      <c r="AC130" s="105" t="s">
        <v>183</v>
      </c>
    </row>
    <row r="131" spans="1:29" ht="12.75" hidden="1" customHeight="1" x14ac:dyDescent="0.2">
      <c r="A131" s="113"/>
      <c r="B131" s="246"/>
      <c r="E131" s="105" t="s">
        <v>184</v>
      </c>
      <c r="F131" s="108"/>
      <c r="G131" s="108"/>
      <c r="H131" s="162"/>
      <c r="I131" s="136">
        <v>0</v>
      </c>
      <c r="J131" s="136">
        <v>0</v>
      </c>
      <c r="K131" s="136">
        <v>0</v>
      </c>
      <c r="L131" s="136">
        <v>0</v>
      </c>
      <c r="M131" s="136">
        <v>0</v>
      </c>
      <c r="N131" s="136">
        <v>0</v>
      </c>
      <c r="O131" s="139">
        <v>0</v>
      </c>
      <c r="P131" s="137">
        <v>0</v>
      </c>
      <c r="Q131" s="136">
        <v>0</v>
      </c>
      <c r="R131" s="136">
        <v>0</v>
      </c>
      <c r="S131" s="136">
        <v>0</v>
      </c>
      <c r="T131" s="136">
        <v>0</v>
      </c>
      <c r="U131" s="241">
        <f t="shared" si="25"/>
        <v>0</v>
      </c>
      <c r="V131" s="139"/>
      <c r="W131" s="139"/>
      <c r="X131" s="139"/>
      <c r="Y131" s="135"/>
      <c r="AB131" s="105" t="e">
        <f>+#REF!</f>
        <v>#REF!</v>
      </c>
      <c r="AC131" s="105" t="s">
        <v>185</v>
      </c>
    </row>
    <row r="132" spans="1:29" ht="12.75" hidden="1" x14ac:dyDescent="0.2">
      <c r="A132" s="704" t="s">
        <v>186</v>
      </c>
      <c r="B132" s="692"/>
      <c r="C132" s="692"/>
      <c r="D132" s="692"/>
      <c r="E132" s="692"/>
      <c r="F132" s="692"/>
      <c r="G132" s="693"/>
      <c r="H132" s="162">
        <v>0</v>
      </c>
      <c r="I132" s="136">
        <v>0</v>
      </c>
      <c r="J132" s="136">
        <v>0</v>
      </c>
      <c r="K132" s="136">
        <v>0</v>
      </c>
      <c r="L132" s="136">
        <v>0</v>
      </c>
      <c r="M132" s="136">
        <v>0</v>
      </c>
      <c r="N132" s="136">
        <v>0</v>
      </c>
      <c r="O132" s="136">
        <v>0</v>
      </c>
      <c r="P132" s="136">
        <v>0</v>
      </c>
      <c r="Q132" s="136">
        <v>0</v>
      </c>
      <c r="R132" s="136">
        <v>0</v>
      </c>
      <c r="S132" s="136">
        <v>0</v>
      </c>
      <c r="T132" s="136">
        <v>0</v>
      </c>
      <c r="U132" s="241">
        <f t="shared" ref="U132" si="27">SUM(I132:T132)</f>
        <v>0</v>
      </c>
      <c r="V132" s="139"/>
      <c r="W132" s="139"/>
      <c r="X132" s="139"/>
      <c r="Y132" s="135"/>
    </row>
    <row r="133" spans="1:29" ht="12.75" customHeight="1" x14ac:dyDescent="0.2">
      <c r="A133" s="113" t="s">
        <v>187</v>
      </c>
      <c r="B133" s="108"/>
      <c r="C133" s="108"/>
      <c r="D133" s="108"/>
      <c r="E133" s="108"/>
      <c r="F133" s="108"/>
      <c r="G133" s="165"/>
      <c r="H133" s="137">
        <v>38092273.100000001</v>
      </c>
      <c r="I133" s="136">
        <v>2558272.5997100002</v>
      </c>
      <c r="J133" s="136">
        <v>1599970.9169700001</v>
      </c>
      <c r="K133" s="136">
        <v>1260801.7249700001</v>
      </c>
      <c r="L133" s="136">
        <v>2357605.6139199999</v>
      </c>
      <c r="M133" s="136">
        <v>3646053.3910400001</v>
      </c>
      <c r="N133" s="136">
        <v>5159495.2959899995</v>
      </c>
      <c r="O133" s="136">
        <v>5216230.9491499998</v>
      </c>
      <c r="P133" s="136">
        <v>3621546.1784200002</v>
      </c>
      <c r="Q133" s="136">
        <v>3541896.2725</v>
      </c>
      <c r="R133" s="136">
        <v>3837502.53632</v>
      </c>
      <c r="S133" s="240">
        <v>3989449.6832900001</v>
      </c>
      <c r="T133" s="240">
        <v>3653209.75991</v>
      </c>
      <c r="U133" s="241">
        <f>SUM(I133:T133)</f>
        <v>40442034.922190003</v>
      </c>
      <c r="V133" s="139"/>
      <c r="W133" s="139"/>
      <c r="X133" s="139"/>
      <c r="Y133" s="135"/>
      <c r="AA133" s="175"/>
    </row>
    <row r="134" spans="1:29" ht="12.75" customHeight="1" x14ac:dyDescent="0.2">
      <c r="A134" s="248" t="s">
        <v>188</v>
      </c>
      <c r="B134" s="249"/>
      <c r="C134" s="249"/>
      <c r="D134" s="249"/>
      <c r="E134" s="249"/>
      <c r="F134" s="249"/>
      <c r="G134" s="249"/>
      <c r="H134" s="250">
        <v>17177171.350000001</v>
      </c>
      <c r="I134" s="251">
        <v>1443405.03764</v>
      </c>
      <c r="J134" s="251">
        <v>1326166.2971099999</v>
      </c>
      <c r="K134" s="251">
        <v>1291739.155</v>
      </c>
      <c r="L134" s="251">
        <v>1457469.74217</v>
      </c>
      <c r="M134" s="251">
        <v>1549732.60968</v>
      </c>
      <c r="N134" s="251">
        <v>1578687.52061</v>
      </c>
      <c r="O134" s="251">
        <v>1531309.00902</v>
      </c>
      <c r="P134" s="251">
        <v>1589698.23523</v>
      </c>
      <c r="Q134" s="251">
        <v>1721507.47046</v>
      </c>
      <c r="R134" s="251">
        <v>1629108.45141</v>
      </c>
      <c r="S134" s="250">
        <v>1595976.8491300002</v>
      </c>
      <c r="T134" s="250">
        <v>1680698.82703</v>
      </c>
      <c r="U134" s="252">
        <f>SUM(I134:T134)</f>
        <v>18395499.204490002</v>
      </c>
      <c r="V134" s="139"/>
      <c r="W134" s="139"/>
      <c r="X134" s="139"/>
      <c r="Y134" s="135"/>
    </row>
    <row r="135" spans="1:29" ht="12.75" customHeight="1" x14ac:dyDescent="0.2">
      <c r="A135" s="171" t="s">
        <v>189</v>
      </c>
      <c r="B135" s="108"/>
      <c r="C135" s="108"/>
      <c r="D135" s="108"/>
      <c r="E135" s="108"/>
      <c r="F135" s="108"/>
      <c r="G135" s="108"/>
      <c r="H135" s="203"/>
      <c r="I135" s="204">
        <f t="shared" ref="I135:U135" si="28">+I116+I117+I120+I132+I133+I134</f>
        <v>67582916.620230004</v>
      </c>
      <c r="J135" s="204">
        <f t="shared" si="28"/>
        <v>71935965.036200017</v>
      </c>
      <c r="K135" s="204">
        <f t="shared" si="28"/>
        <v>111119018.19630001</v>
      </c>
      <c r="L135" s="204">
        <f t="shared" si="28"/>
        <v>66546355.865609996</v>
      </c>
      <c r="M135" s="204">
        <f t="shared" si="28"/>
        <v>106920604.21582998</v>
      </c>
      <c r="N135" s="204">
        <f t="shared" si="28"/>
        <v>112870202.75457998</v>
      </c>
      <c r="O135" s="204">
        <f t="shared" si="28"/>
        <v>90670996.475909993</v>
      </c>
      <c r="P135" s="204">
        <f t="shared" si="28"/>
        <v>104873390.44219001</v>
      </c>
      <c r="Q135" s="204">
        <f t="shared" si="28"/>
        <v>181658060.38802999</v>
      </c>
      <c r="R135" s="204">
        <f t="shared" si="28"/>
        <v>93196838.759669974</v>
      </c>
      <c r="S135" s="204">
        <f t="shared" si="28"/>
        <v>138694148.79780996</v>
      </c>
      <c r="T135" s="204">
        <f t="shared" si="28"/>
        <v>152579066.86655995</v>
      </c>
      <c r="U135" s="210">
        <f t="shared" si="28"/>
        <v>1298647564.4189196</v>
      </c>
      <c r="V135" s="232"/>
      <c r="W135" s="232"/>
      <c r="X135" s="232"/>
      <c r="Y135" s="135"/>
    </row>
    <row r="136" spans="1:29" ht="12.75" customHeight="1" x14ac:dyDescent="0.2">
      <c r="A136" s="113" t="s">
        <v>190</v>
      </c>
      <c r="B136" s="108"/>
      <c r="C136" s="108"/>
      <c r="D136" s="108"/>
      <c r="E136" s="108"/>
      <c r="F136" s="108"/>
      <c r="G136" s="213"/>
      <c r="H136" s="162"/>
      <c r="I136" s="136">
        <v>16415</v>
      </c>
      <c r="J136" s="136">
        <v>3123</v>
      </c>
      <c r="K136" s="136">
        <v>-12025</v>
      </c>
      <c r="L136" s="136">
        <v>13620</v>
      </c>
      <c r="M136" s="136">
        <v>-26756</v>
      </c>
      <c r="N136" s="136">
        <v>15209</v>
      </c>
      <c r="O136" s="136">
        <v>32487</v>
      </c>
      <c r="P136" s="136">
        <v>1142</v>
      </c>
      <c r="Q136" s="136">
        <v>13195</v>
      </c>
      <c r="R136" s="136">
        <v>-29488</v>
      </c>
      <c r="S136" s="240">
        <v>-4053</v>
      </c>
      <c r="T136" s="240">
        <v>19964</v>
      </c>
      <c r="U136" s="241">
        <f>SUM(I136:T136)</f>
        <v>42833</v>
      </c>
      <c r="V136" s="139"/>
      <c r="W136" s="139"/>
      <c r="X136" s="139"/>
      <c r="Y136" s="135"/>
      <c r="AB136" s="175"/>
    </row>
    <row r="137" spans="1:29" ht="12.75" customHeight="1" x14ac:dyDescent="0.2">
      <c r="A137" s="704" t="s">
        <v>191</v>
      </c>
      <c r="B137" s="692"/>
      <c r="C137" s="692"/>
      <c r="D137" s="692"/>
      <c r="E137" s="692"/>
      <c r="F137" s="692"/>
      <c r="G137" s="693"/>
      <c r="H137" s="162"/>
      <c r="I137" s="136">
        <v>0</v>
      </c>
      <c r="J137" s="136">
        <v>0</v>
      </c>
      <c r="K137" s="136">
        <v>0</v>
      </c>
      <c r="L137" s="136">
        <v>0</v>
      </c>
      <c r="M137" s="136">
        <v>0</v>
      </c>
      <c r="N137" s="136">
        <v>0</v>
      </c>
      <c r="O137" s="136">
        <v>0</v>
      </c>
      <c r="P137" s="136">
        <v>0</v>
      </c>
      <c r="Q137" s="136">
        <v>0</v>
      </c>
      <c r="R137" s="136">
        <v>0</v>
      </c>
      <c r="S137" s="240">
        <v>0</v>
      </c>
      <c r="T137" s="240">
        <v>0</v>
      </c>
      <c r="U137" s="241">
        <f>SUM(I137:T137)</f>
        <v>0</v>
      </c>
      <c r="V137" s="139"/>
      <c r="W137" s="139"/>
      <c r="X137" s="139"/>
      <c r="Y137" s="135"/>
    </row>
    <row r="138" spans="1:29" ht="12.75" customHeight="1" x14ac:dyDescent="0.2">
      <c r="A138" s="113" t="s">
        <v>192</v>
      </c>
      <c r="B138" s="108"/>
      <c r="C138" s="108"/>
      <c r="D138" s="108"/>
      <c r="E138" s="108"/>
      <c r="F138" s="108"/>
      <c r="G138" s="108"/>
      <c r="H138" s="162"/>
      <c r="I138" s="136">
        <v>-3770745</v>
      </c>
      <c r="J138" s="136">
        <v>-2558273</v>
      </c>
      <c r="K138" s="136">
        <v>-1599971</v>
      </c>
      <c r="L138" s="136">
        <v>-1260802</v>
      </c>
      <c r="M138" s="136">
        <v>-2357606</v>
      </c>
      <c r="N138" s="136">
        <v>-3646053</v>
      </c>
      <c r="O138" s="253">
        <v>-5159495</v>
      </c>
      <c r="P138" s="136">
        <v>-5216231</v>
      </c>
      <c r="Q138" s="136">
        <v>0</v>
      </c>
      <c r="R138" s="136">
        <v>-7163442</v>
      </c>
      <c r="S138" s="240">
        <v>-3837503</v>
      </c>
      <c r="T138" s="240">
        <v>-3989449</v>
      </c>
      <c r="U138" s="241">
        <f>SUM(I138:T138)</f>
        <v>-40559570</v>
      </c>
      <c r="V138" s="139"/>
      <c r="W138" s="139"/>
      <c r="X138" s="139"/>
      <c r="Y138" s="135"/>
      <c r="AB138" s="175"/>
    </row>
    <row r="139" spans="1:29" ht="12.75" customHeight="1" x14ac:dyDescent="0.2">
      <c r="A139" s="113" t="s">
        <v>193</v>
      </c>
      <c r="B139" s="108"/>
      <c r="C139" s="108"/>
      <c r="D139" s="108"/>
      <c r="E139" s="108"/>
      <c r="F139" s="108"/>
      <c r="G139" s="108"/>
      <c r="H139" s="162"/>
      <c r="I139" s="136">
        <v>-1895789</v>
      </c>
      <c r="J139" s="136">
        <v>-1443405</v>
      </c>
      <c r="K139" s="136">
        <v>-1326166</v>
      </c>
      <c r="L139" s="136">
        <v>-1291739</v>
      </c>
      <c r="M139" s="136">
        <v>-1457470</v>
      </c>
      <c r="N139" s="136">
        <v>-1549733</v>
      </c>
      <c r="O139" s="253">
        <v>-1578687</v>
      </c>
      <c r="P139" s="136">
        <v>-1531309</v>
      </c>
      <c r="Q139" s="136">
        <f>-1589698</f>
        <v>-1589698</v>
      </c>
      <c r="R139" s="136">
        <v>-1721508</v>
      </c>
      <c r="S139" s="240">
        <v>-1629108</v>
      </c>
      <c r="T139" s="240">
        <v>-1595976</v>
      </c>
      <c r="U139" s="241">
        <f>SUM(I139:T139)</f>
        <v>-18610588</v>
      </c>
      <c r="V139" s="139"/>
      <c r="W139" s="139"/>
      <c r="X139" s="139"/>
      <c r="Y139" s="135"/>
    </row>
    <row r="140" spans="1:29" ht="12.75" customHeight="1" x14ac:dyDescent="0.2">
      <c r="A140" s="705" t="s">
        <v>194</v>
      </c>
      <c r="B140" s="706"/>
      <c r="C140" s="706"/>
      <c r="D140" s="706"/>
      <c r="E140" s="706"/>
      <c r="F140" s="706"/>
      <c r="G140" s="707"/>
      <c r="H140" s="250"/>
      <c r="I140" s="136">
        <f>350-50000</f>
        <v>-49650</v>
      </c>
      <c r="J140" s="136">
        <v>32382</v>
      </c>
      <c r="K140" s="136">
        <f>1320-1380-2300</f>
        <v>-2360</v>
      </c>
      <c r="L140" s="136">
        <v>18537</v>
      </c>
      <c r="M140" s="136">
        <v>1744</v>
      </c>
      <c r="N140" s="136">
        <f>1048-1802</f>
        <v>-754</v>
      </c>
      <c r="O140" s="136">
        <f>714-30000-3647-20000</f>
        <v>-52933</v>
      </c>
      <c r="P140" s="136">
        <v>2704</v>
      </c>
      <c r="Q140" s="136">
        <v>2519</v>
      </c>
      <c r="R140" s="136">
        <v>2262</v>
      </c>
      <c r="S140" s="240">
        <v>17776</v>
      </c>
      <c r="T140" s="240">
        <f>4479-41570</f>
        <v>-37091</v>
      </c>
      <c r="U140" s="241">
        <f>SUM(I140:T140)</f>
        <v>-64864</v>
      </c>
      <c r="V140" s="139"/>
      <c r="W140" s="139"/>
      <c r="X140" s="139"/>
      <c r="Y140" s="135"/>
    </row>
    <row r="141" spans="1:29" ht="12.75" customHeight="1" x14ac:dyDescent="0.2">
      <c r="A141" s="223" t="s">
        <v>195</v>
      </c>
      <c r="B141" s="184"/>
      <c r="C141" s="184"/>
      <c r="D141" s="184"/>
      <c r="E141" s="184"/>
      <c r="F141" s="184"/>
      <c r="G141" s="186"/>
      <c r="H141" s="224"/>
      <c r="I141" s="224">
        <f>SUM(I135:I140)</f>
        <v>61883147.620230004</v>
      </c>
      <c r="J141" s="224">
        <f t="shared" ref="J141:T141" si="29">SUM(J135:J140)</f>
        <v>67969792.036200017</v>
      </c>
      <c r="K141" s="224">
        <f t="shared" si="29"/>
        <v>108178496.19630001</v>
      </c>
      <c r="L141" s="224">
        <f t="shared" si="29"/>
        <v>64025971.865609996</v>
      </c>
      <c r="M141" s="224">
        <f t="shared" si="29"/>
        <v>103080516.21582998</v>
      </c>
      <c r="N141" s="224">
        <f t="shared" si="29"/>
        <v>107688871.75457998</v>
      </c>
      <c r="O141" s="224">
        <f>SUM(O135:O140)+1</f>
        <v>83912369.475909993</v>
      </c>
      <c r="P141" s="224">
        <f t="shared" si="29"/>
        <v>98129696.442190006</v>
      </c>
      <c r="Q141" s="224">
        <f>SUM(Q135:Q140)</f>
        <v>180084076.38802999</v>
      </c>
      <c r="R141" s="224">
        <f t="shared" si="29"/>
        <v>84284662.759669974</v>
      </c>
      <c r="S141" s="224">
        <f t="shared" si="29"/>
        <v>133241260.79780996</v>
      </c>
      <c r="T141" s="224">
        <f t="shared" si="29"/>
        <v>146976514.86655995</v>
      </c>
      <c r="U141" s="225">
        <f>SUM(U135:U140)+1</f>
        <v>1239455376.4189196</v>
      </c>
      <c r="V141" s="114"/>
      <c r="W141" s="114"/>
      <c r="X141" s="114"/>
      <c r="Y141" s="135"/>
    </row>
    <row r="142" spans="1:29" s="255" customFormat="1" ht="12.75" customHeight="1" x14ac:dyDescent="0.2">
      <c r="A142" s="708" t="s">
        <v>196</v>
      </c>
      <c r="B142" s="708"/>
      <c r="C142" s="708"/>
      <c r="D142" s="708"/>
      <c r="E142" s="708"/>
      <c r="F142" s="708"/>
      <c r="G142" s="708"/>
      <c r="H142" s="708"/>
      <c r="I142" s="708"/>
      <c r="J142" s="708"/>
      <c r="K142" s="708"/>
      <c r="L142" s="708"/>
      <c r="M142" s="708"/>
      <c r="N142" s="708"/>
      <c r="O142" s="708"/>
      <c r="P142" s="708"/>
      <c r="Q142" s="708"/>
      <c r="R142" s="708"/>
      <c r="S142" s="708"/>
      <c r="T142" s="708"/>
      <c r="U142" s="708"/>
      <c r="V142" s="254"/>
      <c r="W142" s="254"/>
      <c r="X142" s="254"/>
      <c r="AA142" s="105"/>
      <c r="AB142" s="105"/>
      <c r="AC142" s="105"/>
    </row>
    <row r="143" spans="1:29" ht="12.75" customHeight="1" x14ac:dyDescent="0.2">
      <c r="A143" s="697" t="s">
        <v>197</v>
      </c>
      <c r="B143" s="697"/>
      <c r="C143" s="697"/>
      <c r="D143" s="697"/>
      <c r="E143" s="697"/>
      <c r="F143" s="697"/>
      <c r="G143" s="697"/>
      <c r="H143" s="697"/>
      <c r="I143" s="697"/>
      <c r="J143" s="697"/>
      <c r="K143" s="697"/>
      <c r="L143" s="697"/>
      <c r="M143" s="697"/>
      <c r="N143" s="697"/>
      <c r="O143" s="697"/>
      <c r="P143" s="697"/>
      <c r="Q143" s="697"/>
      <c r="R143" s="697"/>
      <c r="S143" s="697"/>
      <c r="T143" s="697"/>
      <c r="U143" s="697"/>
      <c r="V143" s="255"/>
      <c r="W143" s="255"/>
      <c r="X143" s="255"/>
      <c r="Y143" s="108"/>
      <c r="AB143" s="255"/>
      <c r="AC143" s="135"/>
    </row>
    <row r="144" spans="1:29" ht="12.75" customHeight="1" x14ac:dyDescent="0.2">
      <c r="A144" s="697" t="s">
        <v>198</v>
      </c>
      <c r="B144" s="697"/>
      <c r="C144" s="697"/>
      <c r="D144" s="697"/>
      <c r="E144" s="697"/>
      <c r="F144" s="697"/>
      <c r="G144" s="697"/>
      <c r="H144" s="697"/>
      <c r="I144" s="697"/>
      <c r="J144" s="697"/>
      <c r="K144" s="697"/>
      <c r="L144" s="697"/>
      <c r="M144" s="697"/>
      <c r="N144" s="697"/>
      <c r="O144" s="697"/>
      <c r="P144" s="697"/>
      <c r="Q144" s="697"/>
      <c r="R144" s="697"/>
      <c r="S144" s="697"/>
      <c r="T144" s="697"/>
      <c r="U144" s="697"/>
      <c r="V144" s="255"/>
      <c r="W144" s="255"/>
      <c r="X144" s="255"/>
      <c r="Y144" s="130"/>
      <c r="Z144" s="130"/>
      <c r="AB144" s="255"/>
    </row>
    <row r="145" spans="1:26" ht="12.75" customHeight="1" x14ac:dyDescent="0.2">
      <c r="A145" s="697" t="s">
        <v>199</v>
      </c>
      <c r="B145" s="697"/>
      <c r="C145" s="697"/>
      <c r="D145" s="697"/>
      <c r="E145" s="697"/>
      <c r="F145" s="697"/>
      <c r="G145" s="697"/>
      <c r="H145" s="697"/>
      <c r="I145" s="697"/>
      <c r="J145" s="697"/>
      <c r="K145" s="697"/>
      <c r="L145" s="697"/>
      <c r="M145" s="697"/>
      <c r="N145" s="697"/>
      <c r="O145" s="697"/>
      <c r="P145" s="697"/>
      <c r="Q145" s="697"/>
      <c r="R145" s="697"/>
      <c r="S145" s="697"/>
      <c r="T145" s="697"/>
      <c r="U145" s="697"/>
      <c r="V145" s="255"/>
      <c r="W145" s="255"/>
      <c r="X145" s="255"/>
      <c r="Y145" s="129"/>
      <c r="Z145" s="129"/>
    </row>
    <row r="146" spans="1:26" ht="12.75" customHeight="1" x14ac:dyDescent="0.2">
      <c r="A146" s="697" t="s">
        <v>319</v>
      </c>
      <c r="B146" s="697"/>
      <c r="C146" s="697"/>
      <c r="D146" s="697"/>
      <c r="E146" s="697"/>
      <c r="F146" s="697"/>
      <c r="G146" s="697"/>
      <c r="H146" s="697"/>
      <c r="I146" s="697"/>
      <c r="J146" s="697"/>
      <c r="K146" s="697"/>
      <c r="L146" s="697"/>
      <c r="M146" s="697"/>
      <c r="N146" s="697"/>
      <c r="O146" s="697"/>
      <c r="P146" s="697"/>
      <c r="Q146" s="697"/>
      <c r="R146" s="697"/>
      <c r="S146" s="697"/>
      <c r="T146" s="697"/>
      <c r="U146" s="697"/>
      <c r="V146" s="255"/>
      <c r="W146" s="255"/>
      <c r="X146" s="255"/>
      <c r="Y146" s="129"/>
      <c r="Z146" s="129"/>
    </row>
    <row r="147" spans="1:26" ht="12.75" customHeight="1" x14ac:dyDescent="0.2">
      <c r="A147" s="697" t="s">
        <v>317</v>
      </c>
      <c r="B147" s="697"/>
      <c r="C147" s="697"/>
      <c r="D147" s="697"/>
      <c r="E147" s="697"/>
      <c r="F147" s="697"/>
      <c r="G147" s="697"/>
      <c r="H147" s="697"/>
      <c r="I147" s="697"/>
      <c r="J147" s="697"/>
      <c r="K147" s="697"/>
      <c r="L147" s="697"/>
      <c r="M147" s="697"/>
      <c r="N147" s="697"/>
      <c r="O147" s="697"/>
      <c r="P147" s="697"/>
      <c r="Q147" s="697"/>
      <c r="R147" s="697"/>
      <c r="S147" s="697"/>
      <c r="T147" s="697"/>
      <c r="U147" s="697"/>
      <c r="V147" s="255"/>
      <c r="W147" s="255"/>
      <c r="X147" s="255"/>
    </row>
    <row r="148" spans="1:26" ht="12.75" customHeight="1" x14ac:dyDescent="0.2">
      <c r="A148" s="255" t="s">
        <v>318</v>
      </c>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row>
    <row r="149" spans="1:26" ht="12.75" customHeight="1" x14ac:dyDescent="0.2">
      <c r="A149" s="697" t="s">
        <v>200</v>
      </c>
      <c r="B149" s="697"/>
      <c r="C149" s="697"/>
      <c r="D149" s="697"/>
      <c r="E149" s="697"/>
      <c r="F149" s="697"/>
      <c r="G149" s="697"/>
      <c r="H149" s="697"/>
      <c r="I149" s="697"/>
      <c r="J149" s="697"/>
      <c r="K149" s="697"/>
      <c r="L149" s="697"/>
      <c r="M149" s="697"/>
      <c r="N149" s="697"/>
      <c r="O149" s="697"/>
      <c r="P149" s="697"/>
      <c r="Q149" s="697"/>
      <c r="R149" s="697"/>
      <c r="S149" s="697"/>
      <c r="T149" s="697"/>
      <c r="U149" s="697"/>
      <c r="V149" s="255"/>
      <c r="W149" s="255"/>
      <c r="X149" s="255"/>
    </row>
    <row r="150" spans="1:26" ht="12.75" customHeight="1" x14ac:dyDescent="0.2">
      <c r="A150" s="255"/>
      <c r="B150" s="255"/>
      <c r="C150" s="255"/>
      <c r="D150" s="255"/>
      <c r="E150" s="256"/>
      <c r="F150" s="255"/>
      <c r="G150" s="255"/>
      <c r="I150" s="255"/>
      <c r="J150" s="255"/>
      <c r="K150" s="255"/>
      <c r="L150" s="255"/>
      <c r="M150" s="255"/>
      <c r="N150" s="255"/>
      <c r="O150" s="255"/>
      <c r="P150" s="255"/>
      <c r="Q150" s="255"/>
      <c r="R150" s="255"/>
      <c r="S150" s="255"/>
      <c r="T150" s="255"/>
      <c r="U150" s="255"/>
      <c r="V150" s="130"/>
      <c r="W150" s="130"/>
      <c r="X150" s="130"/>
    </row>
    <row r="151" spans="1:26" ht="12.75" customHeight="1" x14ac:dyDescent="0.2">
      <c r="A151" s="135"/>
      <c r="B151" s="135"/>
      <c r="C151" s="135"/>
      <c r="E151" s="135"/>
      <c r="F151" s="108"/>
      <c r="G151" s="108"/>
      <c r="H151" s="108"/>
      <c r="I151" s="108"/>
      <c r="J151" s="108"/>
      <c r="K151" s="108"/>
      <c r="L151" s="108"/>
      <c r="M151" s="108"/>
      <c r="N151" s="108"/>
      <c r="O151" s="108"/>
      <c r="P151" s="108"/>
      <c r="Q151" s="108"/>
      <c r="R151" s="108"/>
      <c r="S151" s="108"/>
      <c r="T151" s="108"/>
      <c r="U151" s="108"/>
      <c r="V151" s="108"/>
      <c r="W151" s="108"/>
      <c r="X151" s="108"/>
      <c r="Y151" s="108"/>
    </row>
    <row r="152" spans="1:26" ht="12.75" customHeight="1" x14ac:dyDescent="0.3"/>
    <row r="153" spans="1:26" ht="12.75" customHeight="1" x14ac:dyDescent="0.3"/>
    <row r="154" spans="1:26" ht="12.75" customHeight="1" x14ac:dyDescent="0.3"/>
    <row r="155" spans="1:26" ht="12.75" customHeight="1" x14ac:dyDescent="0.3"/>
    <row r="156" spans="1:26" ht="12.75" customHeight="1" x14ac:dyDescent="0.3"/>
    <row r="157" spans="1:26" ht="12.75" customHeight="1" x14ac:dyDescent="0.3"/>
    <row r="158" spans="1:26" ht="12.75" customHeight="1" x14ac:dyDescent="0.3"/>
    <row r="159" spans="1:26" ht="12.75" customHeight="1" x14ac:dyDescent="0.3"/>
    <row r="160" spans="1:26"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sheetData>
  <mergeCells count="29">
    <mergeCell ref="A144:U144"/>
    <mergeCell ref="A145:U145"/>
    <mergeCell ref="A147:U147"/>
    <mergeCell ref="A149:U149"/>
    <mergeCell ref="A146:U146"/>
    <mergeCell ref="A143:U143"/>
    <mergeCell ref="E45:F45"/>
    <mergeCell ref="C53:G53"/>
    <mergeCell ref="E58:F58"/>
    <mergeCell ref="C81:F81"/>
    <mergeCell ref="E86:G86"/>
    <mergeCell ref="A115:G115"/>
    <mergeCell ref="A118:G118"/>
    <mergeCell ref="A132:G132"/>
    <mergeCell ref="A137:G137"/>
    <mergeCell ref="A140:G140"/>
    <mergeCell ref="A142:U142"/>
    <mergeCell ref="E42:G42"/>
    <mergeCell ref="H3:U3"/>
    <mergeCell ref="E8:G8"/>
    <mergeCell ref="E10:G10"/>
    <mergeCell ref="C13:G13"/>
    <mergeCell ref="E15:G15"/>
    <mergeCell ref="E16:G16"/>
    <mergeCell ref="E17:G17"/>
    <mergeCell ref="E19:G19"/>
    <mergeCell ref="E20:G20"/>
    <mergeCell ref="C24:G24"/>
    <mergeCell ref="C27:G27"/>
  </mergeCells>
  <pageMargins left="0.7" right="0.7" top="0.75" bottom="0.75" header="0.3" footer="0.3"/>
  <pageSetup paperSize="9" scale="31" orientation="portrait" verticalDpi="0" r:id="rId1"/>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89"/>
  <sheetViews>
    <sheetView view="pageBreakPreview" topLeftCell="AM61" zoomScale="118" zoomScaleNormal="100" zoomScaleSheetLayoutView="118" workbookViewId="0">
      <selection activeCell="N16" sqref="N16"/>
    </sheetView>
  </sheetViews>
  <sheetFormatPr defaultColWidth="9.109375" defaultRowHeight="13.8" x14ac:dyDescent="0.3"/>
  <cols>
    <col min="1" max="1" width="2.88671875" style="262" customWidth="1"/>
    <col min="2" max="2" width="3.33203125" style="262" customWidth="1"/>
    <col min="3" max="3" width="50.6640625" style="262" customWidth="1"/>
    <col min="4" max="4" width="8.6640625" style="262" customWidth="1"/>
    <col min="5" max="8" width="13.5546875" style="262" hidden="1" customWidth="1"/>
    <col min="9" max="9" width="16.88671875" style="262" customWidth="1"/>
    <col min="10" max="13" width="13.5546875" style="262" hidden="1" customWidth="1"/>
    <col min="14" max="14" width="14.6640625" style="262" customWidth="1"/>
    <col min="15" max="15" width="12.6640625" style="262" hidden="1" customWidth="1"/>
    <col min="16" max="17" width="11.33203125" style="262" hidden="1" customWidth="1"/>
    <col min="18" max="18" width="12.6640625" style="262" hidden="1" customWidth="1"/>
    <col min="19" max="19" width="14.6640625" style="262" customWidth="1"/>
    <col min="20" max="22" width="11.33203125" style="262" hidden="1" customWidth="1"/>
    <col min="23" max="23" width="12.6640625" style="262" hidden="1" customWidth="1"/>
    <col min="24" max="24" width="14.6640625" style="262" customWidth="1"/>
    <col min="25" max="27" width="11.33203125" style="262" hidden="1" customWidth="1"/>
    <col min="28" max="28" width="12.6640625" style="262" hidden="1" customWidth="1"/>
    <col min="29" max="29" width="14.6640625" style="262" customWidth="1"/>
    <col min="30" max="30" width="12.33203125" style="262" hidden="1" customWidth="1"/>
    <col min="31" max="31" width="12.6640625" style="262" hidden="1" customWidth="1"/>
    <col min="32" max="32" width="11.33203125" style="262" hidden="1" customWidth="1"/>
    <col min="33" max="33" width="12.6640625" style="262" hidden="1" customWidth="1"/>
    <col min="34" max="34" width="15.44140625" style="262" customWidth="1"/>
    <col min="35" max="38" width="15.44140625" style="262" hidden="1" customWidth="1"/>
    <col min="39" max="39" width="15.44140625" style="262" customWidth="1"/>
    <col min="40" max="43" width="15.44140625" style="262" hidden="1" customWidth="1"/>
    <col min="44" max="44" width="15.44140625" style="262" customWidth="1"/>
    <col min="45" max="48" width="15.44140625" style="262" hidden="1" customWidth="1"/>
    <col min="49" max="49" width="15.44140625" style="262" customWidth="1"/>
    <col min="50" max="53" width="15.44140625" style="262" hidden="1" customWidth="1"/>
    <col min="54" max="54" width="15.44140625" style="262" customWidth="1"/>
    <col min="55" max="58" width="15.44140625" style="262" hidden="1" customWidth="1"/>
    <col min="59" max="59" width="15.44140625" style="262" customWidth="1"/>
    <col min="60" max="63" width="15.44140625" style="262" hidden="1" customWidth="1"/>
    <col min="64" max="64" width="15.44140625" style="262" customWidth="1"/>
    <col min="65" max="68" width="15.44140625" style="262" hidden="1" customWidth="1"/>
    <col min="69" max="69" width="15.44140625" style="262" customWidth="1"/>
    <col min="70" max="70" width="15.44140625" style="262" hidden="1" customWidth="1"/>
    <col min="71" max="71" width="13.109375" style="262" hidden="1" customWidth="1"/>
    <col min="72" max="72" width="11.33203125" style="262" hidden="1" customWidth="1"/>
    <col min="73" max="73" width="12.6640625" style="262" hidden="1" customWidth="1"/>
    <col min="74" max="74" width="14.6640625" style="262" customWidth="1"/>
    <col min="75" max="75" width="3.33203125" style="262" customWidth="1"/>
    <col min="76" max="76" width="7.88671875" style="262" hidden="1" customWidth="1"/>
    <col min="77" max="77" width="18.5546875" style="263" hidden="1" customWidth="1"/>
    <col min="78" max="78" width="14.88671875" style="264" hidden="1" customWidth="1"/>
    <col min="79" max="79" width="13.6640625" style="262" hidden="1" customWidth="1"/>
    <col min="80" max="80" width="15.109375" style="262" hidden="1" customWidth="1"/>
    <col min="81" max="16384" width="9.109375" style="262"/>
  </cols>
  <sheetData>
    <row r="1" spans="1:80" ht="15.75" x14ac:dyDescent="0.25">
      <c r="A1" s="257" t="s">
        <v>201</v>
      </c>
      <c r="B1" s="258"/>
      <c r="C1" s="259"/>
      <c r="D1" s="260"/>
      <c r="E1" s="261"/>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row>
    <row r="2" spans="1:80" ht="15" x14ac:dyDescent="0.25">
      <c r="A2" s="265"/>
      <c r="B2" s="260"/>
      <c r="D2" s="266"/>
      <c r="E2" s="710" t="s">
        <v>3</v>
      </c>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2"/>
      <c r="BW2" s="267"/>
      <c r="BY2" s="263">
        <v>1000</v>
      </c>
      <c r="BZ2" s="268"/>
    </row>
    <row r="3" spans="1:80" ht="15" x14ac:dyDescent="0.25">
      <c r="A3" s="269"/>
      <c r="B3" s="260"/>
      <c r="C3" s="262" t="s">
        <v>202</v>
      </c>
      <c r="D3" s="270"/>
      <c r="E3" s="713" t="s">
        <v>203</v>
      </c>
      <c r="F3" s="714"/>
      <c r="G3" s="714"/>
      <c r="H3" s="714"/>
      <c r="I3" s="715"/>
      <c r="J3" s="713" t="s">
        <v>5</v>
      </c>
      <c r="K3" s="714"/>
      <c r="L3" s="714"/>
      <c r="M3" s="714"/>
      <c r="N3" s="715"/>
      <c r="O3" s="716" t="s">
        <v>6</v>
      </c>
      <c r="P3" s="714"/>
      <c r="Q3" s="714"/>
      <c r="R3" s="714"/>
      <c r="S3" s="715"/>
      <c r="T3" s="713" t="s">
        <v>7</v>
      </c>
      <c r="U3" s="714"/>
      <c r="V3" s="714"/>
      <c r="W3" s="714"/>
      <c r="X3" s="715"/>
      <c r="Y3" s="713" t="s">
        <v>8</v>
      </c>
      <c r="Z3" s="714"/>
      <c r="AA3" s="714"/>
      <c r="AB3" s="714"/>
      <c r="AC3" s="715"/>
      <c r="AD3" s="713" t="s">
        <v>9</v>
      </c>
      <c r="AE3" s="714"/>
      <c r="AF3" s="714"/>
      <c r="AG3" s="714"/>
      <c r="AH3" s="715"/>
      <c r="AI3" s="713" t="s">
        <v>10</v>
      </c>
      <c r="AJ3" s="714"/>
      <c r="AK3" s="714"/>
      <c r="AL3" s="714"/>
      <c r="AM3" s="715"/>
      <c r="AN3" s="713" t="s">
        <v>11</v>
      </c>
      <c r="AO3" s="714"/>
      <c r="AP3" s="714"/>
      <c r="AQ3" s="714"/>
      <c r="AR3" s="715"/>
      <c r="AS3" s="713" t="s">
        <v>12</v>
      </c>
      <c r="AT3" s="714"/>
      <c r="AU3" s="714"/>
      <c r="AV3" s="714"/>
      <c r="AW3" s="715"/>
      <c r="AX3" s="713" t="s">
        <v>13</v>
      </c>
      <c r="AY3" s="714"/>
      <c r="AZ3" s="714"/>
      <c r="BA3" s="714"/>
      <c r="BB3" s="715"/>
      <c r="BC3" s="713" t="s">
        <v>14</v>
      </c>
      <c r="BD3" s="714"/>
      <c r="BE3" s="714"/>
      <c r="BF3" s="714"/>
      <c r="BG3" s="715"/>
      <c r="BH3" s="713" t="s">
        <v>15</v>
      </c>
      <c r="BI3" s="714"/>
      <c r="BJ3" s="714"/>
      <c r="BK3" s="714"/>
      <c r="BL3" s="715"/>
      <c r="BM3" s="713" t="s">
        <v>16</v>
      </c>
      <c r="BN3" s="714"/>
      <c r="BO3" s="714"/>
      <c r="BP3" s="714"/>
      <c r="BQ3" s="715"/>
      <c r="BR3" s="713" t="s">
        <v>17</v>
      </c>
      <c r="BS3" s="714"/>
      <c r="BT3" s="714"/>
      <c r="BU3" s="714"/>
      <c r="BV3" s="717"/>
      <c r="BW3" s="271"/>
      <c r="BX3" s="271"/>
    </row>
    <row r="4" spans="1:80" ht="12.75" x14ac:dyDescent="0.2">
      <c r="A4" s="269"/>
      <c r="B4" s="260"/>
      <c r="D4" s="270"/>
      <c r="E4" s="272" t="s">
        <v>204</v>
      </c>
      <c r="F4" s="273" t="s">
        <v>205</v>
      </c>
      <c r="G4" s="273" t="s">
        <v>206</v>
      </c>
      <c r="H4" s="273" t="s">
        <v>207</v>
      </c>
      <c r="I4" s="274" t="s">
        <v>208</v>
      </c>
      <c r="J4" s="272" t="s">
        <v>204</v>
      </c>
      <c r="K4" s="273" t="s">
        <v>205</v>
      </c>
      <c r="L4" s="273" t="s">
        <v>206</v>
      </c>
      <c r="M4" s="273" t="s">
        <v>207</v>
      </c>
      <c r="N4" s="275" t="s">
        <v>208</v>
      </c>
      <c r="O4" s="273" t="s">
        <v>204</v>
      </c>
      <c r="P4" s="273" t="s">
        <v>205</v>
      </c>
      <c r="Q4" s="273" t="s">
        <v>206</v>
      </c>
      <c r="R4" s="273" t="s">
        <v>207</v>
      </c>
      <c r="S4" s="275" t="s">
        <v>208</v>
      </c>
      <c r="T4" s="272" t="s">
        <v>204</v>
      </c>
      <c r="U4" s="273" t="s">
        <v>205</v>
      </c>
      <c r="V4" s="273" t="s">
        <v>206</v>
      </c>
      <c r="W4" s="273" t="s">
        <v>207</v>
      </c>
      <c r="X4" s="275" t="s">
        <v>208</v>
      </c>
      <c r="Y4" s="272" t="s">
        <v>204</v>
      </c>
      <c r="Z4" s="273" t="s">
        <v>205</v>
      </c>
      <c r="AA4" s="273" t="s">
        <v>206</v>
      </c>
      <c r="AB4" s="273" t="s">
        <v>207</v>
      </c>
      <c r="AC4" s="275" t="s">
        <v>208</v>
      </c>
      <c r="AD4" s="272" t="s">
        <v>204</v>
      </c>
      <c r="AE4" s="273" t="s">
        <v>205</v>
      </c>
      <c r="AF4" s="273" t="s">
        <v>206</v>
      </c>
      <c r="AG4" s="273" t="s">
        <v>207</v>
      </c>
      <c r="AH4" s="275" t="s">
        <v>208</v>
      </c>
      <c r="AI4" s="272" t="s">
        <v>204</v>
      </c>
      <c r="AJ4" s="273" t="s">
        <v>205</v>
      </c>
      <c r="AK4" s="273" t="s">
        <v>206</v>
      </c>
      <c r="AL4" s="273" t="s">
        <v>207</v>
      </c>
      <c r="AM4" s="275" t="s">
        <v>208</v>
      </c>
      <c r="AN4" s="272" t="s">
        <v>204</v>
      </c>
      <c r="AO4" s="273" t="s">
        <v>205</v>
      </c>
      <c r="AP4" s="273" t="s">
        <v>206</v>
      </c>
      <c r="AQ4" s="273" t="s">
        <v>207</v>
      </c>
      <c r="AR4" s="275" t="s">
        <v>208</v>
      </c>
      <c r="AS4" s="272" t="s">
        <v>204</v>
      </c>
      <c r="AT4" s="273" t="s">
        <v>205</v>
      </c>
      <c r="AU4" s="273" t="s">
        <v>206</v>
      </c>
      <c r="AV4" s="273" t="s">
        <v>207</v>
      </c>
      <c r="AW4" s="275" t="s">
        <v>208</v>
      </c>
      <c r="AX4" s="272" t="s">
        <v>204</v>
      </c>
      <c r="AY4" s="273" t="s">
        <v>205</v>
      </c>
      <c r="AZ4" s="273" t="s">
        <v>206</v>
      </c>
      <c r="BA4" s="273" t="s">
        <v>207</v>
      </c>
      <c r="BB4" s="275" t="s">
        <v>208</v>
      </c>
      <c r="BC4" s="272" t="s">
        <v>204</v>
      </c>
      <c r="BD4" s="273" t="s">
        <v>205</v>
      </c>
      <c r="BE4" s="273" t="s">
        <v>206</v>
      </c>
      <c r="BF4" s="273" t="s">
        <v>207</v>
      </c>
      <c r="BG4" s="275" t="s">
        <v>208</v>
      </c>
      <c r="BH4" s="272" t="s">
        <v>204</v>
      </c>
      <c r="BI4" s="273" t="s">
        <v>205</v>
      </c>
      <c r="BJ4" s="273" t="s">
        <v>206</v>
      </c>
      <c r="BK4" s="273" t="s">
        <v>209</v>
      </c>
      <c r="BL4" s="275" t="s">
        <v>208</v>
      </c>
      <c r="BM4" s="272" t="s">
        <v>204</v>
      </c>
      <c r="BN4" s="273" t="s">
        <v>205</v>
      </c>
      <c r="BO4" s="273" t="s">
        <v>206</v>
      </c>
      <c r="BP4" s="273" t="s">
        <v>207</v>
      </c>
      <c r="BQ4" s="275" t="s">
        <v>208</v>
      </c>
      <c r="BR4" s="272" t="s">
        <v>204</v>
      </c>
      <c r="BS4" s="273" t="s">
        <v>205</v>
      </c>
      <c r="BT4" s="273" t="s">
        <v>206</v>
      </c>
      <c r="BU4" s="273" t="s">
        <v>207</v>
      </c>
      <c r="BV4" s="276" t="s">
        <v>208</v>
      </c>
      <c r="BW4" s="267"/>
      <c r="BX4" s="271"/>
    </row>
    <row r="5" spans="1:80" ht="12.75" x14ac:dyDescent="0.2">
      <c r="A5" s="277" t="s">
        <v>18</v>
      </c>
      <c r="B5" s="278"/>
      <c r="C5" s="278"/>
      <c r="D5" s="279"/>
      <c r="E5" s="280" t="s">
        <v>210</v>
      </c>
      <c r="F5" s="281" t="s">
        <v>211</v>
      </c>
      <c r="G5" s="281" t="s">
        <v>212</v>
      </c>
      <c r="H5" s="281" t="s">
        <v>213</v>
      </c>
      <c r="I5" s="282"/>
      <c r="J5" s="280" t="s">
        <v>210</v>
      </c>
      <c r="K5" s="281" t="s">
        <v>211</v>
      </c>
      <c r="L5" s="281" t="s">
        <v>212</v>
      </c>
      <c r="M5" s="281" t="s">
        <v>213</v>
      </c>
      <c r="N5" s="282"/>
      <c r="O5" s="281" t="s">
        <v>210</v>
      </c>
      <c r="P5" s="281" t="s">
        <v>211</v>
      </c>
      <c r="Q5" s="281" t="s">
        <v>212</v>
      </c>
      <c r="R5" s="281" t="s">
        <v>213</v>
      </c>
      <c r="S5" s="282"/>
      <c r="T5" s="280" t="s">
        <v>210</v>
      </c>
      <c r="U5" s="281" t="s">
        <v>211</v>
      </c>
      <c r="V5" s="281" t="s">
        <v>212</v>
      </c>
      <c r="W5" s="281" t="s">
        <v>213</v>
      </c>
      <c r="X5" s="282"/>
      <c r="Y5" s="280" t="s">
        <v>210</v>
      </c>
      <c r="Z5" s="281" t="s">
        <v>211</v>
      </c>
      <c r="AA5" s="281" t="s">
        <v>212</v>
      </c>
      <c r="AB5" s="281" t="s">
        <v>213</v>
      </c>
      <c r="AC5" s="282"/>
      <c r="AD5" s="280" t="s">
        <v>210</v>
      </c>
      <c r="AE5" s="281" t="s">
        <v>211</v>
      </c>
      <c r="AF5" s="281" t="s">
        <v>212</v>
      </c>
      <c r="AG5" s="281" t="s">
        <v>213</v>
      </c>
      <c r="AH5" s="282"/>
      <c r="AI5" s="280" t="s">
        <v>210</v>
      </c>
      <c r="AJ5" s="281" t="s">
        <v>211</v>
      </c>
      <c r="AK5" s="281" t="s">
        <v>212</v>
      </c>
      <c r="AL5" s="281" t="s">
        <v>213</v>
      </c>
      <c r="AM5" s="282"/>
      <c r="AN5" s="280" t="s">
        <v>210</v>
      </c>
      <c r="AO5" s="281" t="s">
        <v>211</v>
      </c>
      <c r="AP5" s="281" t="s">
        <v>212</v>
      </c>
      <c r="AQ5" s="281" t="s">
        <v>213</v>
      </c>
      <c r="AR5" s="282"/>
      <c r="AS5" s="280" t="s">
        <v>210</v>
      </c>
      <c r="AT5" s="281" t="s">
        <v>211</v>
      </c>
      <c r="AU5" s="281" t="s">
        <v>212</v>
      </c>
      <c r="AV5" s="281" t="s">
        <v>213</v>
      </c>
      <c r="AW5" s="282"/>
      <c r="AX5" s="280" t="s">
        <v>210</v>
      </c>
      <c r="AY5" s="281" t="s">
        <v>211</v>
      </c>
      <c r="AZ5" s="281" t="s">
        <v>212</v>
      </c>
      <c r="BA5" s="281" t="s">
        <v>213</v>
      </c>
      <c r="BB5" s="282"/>
      <c r="BC5" s="280" t="s">
        <v>210</v>
      </c>
      <c r="BD5" s="281" t="s">
        <v>211</v>
      </c>
      <c r="BE5" s="281" t="s">
        <v>212</v>
      </c>
      <c r="BF5" s="281" t="s">
        <v>213</v>
      </c>
      <c r="BG5" s="282"/>
      <c r="BH5" s="280" t="s">
        <v>210</v>
      </c>
      <c r="BI5" s="281" t="s">
        <v>211</v>
      </c>
      <c r="BJ5" s="281" t="s">
        <v>212</v>
      </c>
      <c r="BK5" s="281" t="s">
        <v>213</v>
      </c>
      <c r="BL5" s="282"/>
      <c r="BM5" s="280" t="s">
        <v>210</v>
      </c>
      <c r="BN5" s="281" t="s">
        <v>211</v>
      </c>
      <c r="BO5" s="281" t="s">
        <v>212</v>
      </c>
      <c r="BP5" s="281" t="s">
        <v>213</v>
      </c>
      <c r="BQ5" s="282"/>
      <c r="BR5" s="280" t="s">
        <v>210</v>
      </c>
      <c r="BS5" s="281" t="s">
        <v>211</v>
      </c>
      <c r="BT5" s="281" t="s">
        <v>212</v>
      </c>
      <c r="BU5" s="281" t="s">
        <v>213</v>
      </c>
      <c r="BV5" s="280"/>
      <c r="BW5" s="267"/>
      <c r="BX5" s="283">
        <v>100</v>
      </c>
      <c r="BY5" s="263" t="s">
        <v>214</v>
      </c>
      <c r="BZ5" s="264" t="s">
        <v>215</v>
      </c>
    </row>
    <row r="6" spans="1:80" ht="12.75" x14ac:dyDescent="0.2">
      <c r="A6" s="284"/>
      <c r="B6" s="260"/>
      <c r="D6" s="273"/>
      <c r="E6" s="285"/>
      <c r="F6" s="273"/>
      <c r="G6" s="273"/>
      <c r="H6" s="273"/>
      <c r="I6" s="286"/>
      <c r="J6" s="272"/>
      <c r="K6" s="273"/>
      <c r="L6" s="273"/>
      <c r="M6" s="273"/>
      <c r="N6" s="286"/>
      <c r="O6" s="273"/>
      <c r="P6" s="273"/>
      <c r="Q6" s="273"/>
      <c r="R6" s="273"/>
      <c r="S6" s="286"/>
      <c r="T6" s="272"/>
      <c r="U6" s="273"/>
      <c r="V6" s="273"/>
      <c r="W6" s="273"/>
      <c r="X6" s="286"/>
      <c r="Y6" s="272"/>
      <c r="Z6" s="273"/>
      <c r="AA6" s="273"/>
      <c r="AB6" s="273"/>
      <c r="AC6" s="286"/>
      <c r="AD6" s="272"/>
      <c r="AE6" s="273"/>
      <c r="AF6" s="273"/>
      <c r="AG6" s="273"/>
      <c r="AH6" s="286"/>
      <c r="AI6" s="272"/>
      <c r="AJ6" s="273"/>
      <c r="AK6" s="273"/>
      <c r="AL6" s="273"/>
      <c r="AM6" s="286"/>
      <c r="AN6" s="272"/>
      <c r="AO6" s="273"/>
      <c r="AP6" s="273"/>
      <c r="AQ6" s="273"/>
      <c r="AR6" s="286"/>
      <c r="AS6" s="272"/>
      <c r="AT6" s="273"/>
      <c r="AU6" s="273"/>
      <c r="AV6" s="273"/>
      <c r="AW6" s="286"/>
      <c r="AX6" s="272"/>
      <c r="AY6" s="273"/>
      <c r="AZ6" s="273"/>
      <c r="BA6" s="273"/>
      <c r="BB6" s="286"/>
      <c r="BC6" s="272"/>
      <c r="BD6" s="273"/>
      <c r="BE6" s="273"/>
      <c r="BF6" s="273"/>
      <c r="BG6" s="286"/>
      <c r="BH6" s="272"/>
      <c r="BI6" s="273"/>
      <c r="BJ6" s="273"/>
      <c r="BK6" s="273"/>
      <c r="BL6" s="286"/>
      <c r="BM6" s="272"/>
      <c r="BN6" s="273"/>
      <c r="BO6" s="273"/>
      <c r="BP6" s="273"/>
      <c r="BQ6" s="286"/>
      <c r="BR6" s="272"/>
      <c r="BS6" s="273"/>
      <c r="BT6" s="273"/>
      <c r="BU6" s="273"/>
      <c r="BV6" s="272"/>
      <c r="BW6" s="267"/>
      <c r="BX6" s="271"/>
    </row>
    <row r="7" spans="1:80" ht="13.5" customHeight="1" x14ac:dyDescent="0.25">
      <c r="A7" s="287">
        <v>1</v>
      </c>
      <c r="B7" s="288" t="s">
        <v>216</v>
      </c>
      <c r="D7" s="289"/>
      <c r="E7" s="290">
        <v>558651</v>
      </c>
      <c r="F7" s="291">
        <v>692</v>
      </c>
      <c r="G7" s="291">
        <v>13577</v>
      </c>
      <c r="H7" s="291">
        <v>0</v>
      </c>
      <c r="I7" s="292">
        <v>572920</v>
      </c>
      <c r="J7" s="293">
        <v>28919</v>
      </c>
      <c r="K7" s="294">
        <v>0</v>
      </c>
      <c r="L7" s="294">
        <v>956</v>
      </c>
      <c r="M7" s="294">
        <v>0</v>
      </c>
      <c r="N7" s="292">
        <v>29875</v>
      </c>
      <c r="O7" s="294">
        <v>29267</v>
      </c>
      <c r="P7" s="294">
        <v>0</v>
      </c>
      <c r="Q7" s="294">
        <v>1524</v>
      </c>
      <c r="R7" s="294">
        <v>0</v>
      </c>
      <c r="S7" s="292">
        <v>30791</v>
      </c>
      <c r="T7" s="293">
        <v>31665</v>
      </c>
      <c r="U7" s="294">
        <v>22</v>
      </c>
      <c r="V7" s="294">
        <v>1020</v>
      </c>
      <c r="W7" s="294">
        <v>0</v>
      </c>
      <c r="X7" s="292">
        <v>32707</v>
      </c>
      <c r="Y7" s="293">
        <v>41265</v>
      </c>
      <c r="Z7" s="294">
        <v>10</v>
      </c>
      <c r="AA7" s="294">
        <v>1229</v>
      </c>
      <c r="AB7" s="294">
        <v>0</v>
      </c>
      <c r="AC7" s="292">
        <v>42504</v>
      </c>
      <c r="AD7" s="293">
        <v>58277</v>
      </c>
      <c r="AE7" s="294">
        <v>320</v>
      </c>
      <c r="AF7" s="294">
        <v>1572</v>
      </c>
      <c r="AG7" s="294">
        <v>0</v>
      </c>
      <c r="AH7" s="292">
        <v>60169</v>
      </c>
      <c r="AI7" s="293">
        <v>33417</v>
      </c>
      <c r="AJ7" s="294">
        <v>137</v>
      </c>
      <c r="AK7" s="294">
        <v>1192</v>
      </c>
      <c r="AL7" s="294">
        <v>0</v>
      </c>
      <c r="AM7" s="292">
        <v>34746</v>
      </c>
      <c r="AN7" s="293">
        <v>31289</v>
      </c>
      <c r="AO7" s="294">
        <v>437</v>
      </c>
      <c r="AP7" s="294">
        <v>1460</v>
      </c>
      <c r="AQ7" s="294">
        <v>0</v>
      </c>
      <c r="AR7" s="292">
        <v>33186</v>
      </c>
      <c r="AS7" s="293">
        <v>31876</v>
      </c>
      <c r="AT7" s="294">
        <v>65</v>
      </c>
      <c r="AU7" s="294">
        <v>1223</v>
      </c>
      <c r="AV7" s="294">
        <v>0</v>
      </c>
      <c r="AW7" s="292">
        <v>33164</v>
      </c>
      <c r="AX7" s="293">
        <v>30576</v>
      </c>
      <c r="AY7" s="294">
        <v>163</v>
      </c>
      <c r="AZ7" s="294">
        <v>3548</v>
      </c>
      <c r="BA7" s="294">
        <v>0</v>
      </c>
      <c r="BB7" s="292">
        <v>34287</v>
      </c>
      <c r="BC7" s="293">
        <v>32285</v>
      </c>
      <c r="BD7" s="294">
        <v>2114</v>
      </c>
      <c r="BE7" s="294">
        <v>2749</v>
      </c>
      <c r="BF7" s="294">
        <v>0</v>
      </c>
      <c r="BG7" s="292">
        <v>37148</v>
      </c>
      <c r="BH7" s="293">
        <v>39424</v>
      </c>
      <c r="BI7" s="294">
        <v>68</v>
      </c>
      <c r="BJ7" s="294">
        <v>1149</v>
      </c>
      <c r="BK7" s="294">
        <v>0</v>
      </c>
      <c r="BL7" s="292">
        <v>40641</v>
      </c>
      <c r="BM7" s="293">
        <v>106129</v>
      </c>
      <c r="BN7" s="294">
        <v>214</v>
      </c>
      <c r="BO7" s="294">
        <v>2264</v>
      </c>
      <c r="BP7" s="294">
        <v>0</v>
      </c>
      <c r="BQ7" s="292">
        <v>108607</v>
      </c>
      <c r="BR7" s="293">
        <v>494389</v>
      </c>
      <c r="BS7" s="291">
        <v>3550</v>
      </c>
      <c r="BT7" s="294">
        <v>19886</v>
      </c>
      <c r="BU7" s="294">
        <v>0</v>
      </c>
      <c r="BV7" s="293">
        <v>517825</v>
      </c>
      <c r="BW7" s="295"/>
      <c r="BX7" s="296">
        <v>90.383474132514138</v>
      </c>
      <c r="BY7" s="263">
        <v>517825</v>
      </c>
      <c r="BZ7" s="264">
        <v>0</v>
      </c>
      <c r="CA7" s="297"/>
      <c r="CB7" s="245"/>
    </row>
    <row r="8" spans="1:80" ht="13.5" x14ac:dyDescent="0.25">
      <c r="A8" s="287">
        <v>2</v>
      </c>
      <c r="B8" s="288" t="s">
        <v>217</v>
      </c>
      <c r="D8" s="298" t="s">
        <v>86</v>
      </c>
      <c r="E8" s="290">
        <v>1547843</v>
      </c>
      <c r="F8" s="291">
        <v>454186</v>
      </c>
      <c r="G8" s="291">
        <v>13816</v>
      </c>
      <c r="H8" s="291">
        <v>0</v>
      </c>
      <c r="I8" s="292">
        <v>2015845</v>
      </c>
      <c r="J8" s="293">
        <v>140445</v>
      </c>
      <c r="K8" s="294">
        <v>120322</v>
      </c>
      <c r="L8" s="294">
        <v>1150</v>
      </c>
      <c r="M8" s="294">
        <v>0</v>
      </c>
      <c r="N8" s="292">
        <v>261917</v>
      </c>
      <c r="O8" s="294">
        <v>140443</v>
      </c>
      <c r="P8" s="294">
        <v>0</v>
      </c>
      <c r="Q8" s="294">
        <v>1152</v>
      </c>
      <c r="R8" s="294">
        <v>0</v>
      </c>
      <c r="S8" s="292">
        <v>141595</v>
      </c>
      <c r="T8" s="293">
        <v>140444</v>
      </c>
      <c r="U8" s="294">
        <v>0</v>
      </c>
      <c r="V8" s="294">
        <v>1151</v>
      </c>
      <c r="W8" s="294">
        <v>0</v>
      </c>
      <c r="X8" s="292">
        <v>141595</v>
      </c>
      <c r="Y8" s="293">
        <v>140444</v>
      </c>
      <c r="Z8" s="294">
        <v>120322</v>
      </c>
      <c r="AA8" s="294">
        <v>1151</v>
      </c>
      <c r="AB8" s="294">
        <v>0</v>
      </c>
      <c r="AC8" s="292">
        <v>261917</v>
      </c>
      <c r="AD8" s="293">
        <v>140444</v>
      </c>
      <c r="AE8" s="294">
        <v>0</v>
      </c>
      <c r="AF8" s="294">
        <v>1151</v>
      </c>
      <c r="AG8" s="294">
        <v>0</v>
      </c>
      <c r="AH8" s="292">
        <v>141595</v>
      </c>
      <c r="AI8" s="293">
        <v>140444</v>
      </c>
      <c r="AJ8" s="294">
        <v>0</v>
      </c>
      <c r="AK8" s="294">
        <v>1151</v>
      </c>
      <c r="AL8" s="294">
        <v>0</v>
      </c>
      <c r="AM8" s="292">
        <v>141595</v>
      </c>
      <c r="AN8" s="293">
        <v>127144</v>
      </c>
      <c r="AO8" s="294">
        <v>120322</v>
      </c>
      <c r="AP8" s="294">
        <v>1151</v>
      </c>
      <c r="AQ8" s="294">
        <v>0</v>
      </c>
      <c r="AR8" s="292">
        <v>248617</v>
      </c>
      <c r="AS8" s="293">
        <v>127144</v>
      </c>
      <c r="AT8" s="294">
        <v>0</v>
      </c>
      <c r="AU8" s="294">
        <v>1151</v>
      </c>
      <c r="AV8" s="294">
        <v>0</v>
      </c>
      <c r="AW8" s="292">
        <v>128295</v>
      </c>
      <c r="AX8" s="293">
        <v>127144</v>
      </c>
      <c r="AY8" s="294">
        <v>0</v>
      </c>
      <c r="AZ8" s="294">
        <v>1151</v>
      </c>
      <c r="BA8" s="294">
        <v>0</v>
      </c>
      <c r="BB8" s="292">
        <v>128295</v>
      </c>
      <c r="BC8" s="293">
        <v>107035</v>
      </c>
      <c r="BD8" s="294">
        <v>93220</v>
      </c>
      <c r="BE8" s="294">
        <v>1150</v>
      </c>
      <c r="BF8" s="294">
        <v>0</v>
      </c>
      <c r="BG8" s="292">
        <v>201405</v>
      </c>
      <c r="BH8" s="293">
        <v>107035</v>
      </c>
      <c r="BI8" s="294">
        <v>0</v>
      </c>
      <c r="BJ8" s="294">
        <v>1151</v>
      </c>
      <c r="BK8" s="294">
        <v>0</v>
      </c>
      <c r="BL8" s="292">
        <v>108186</v>
      </c>
      <c r="BM8" s="293">
        <v>109675</v>
      </c>
      <c r="BN8" s="294">
        <v>0</v>
      </c>
      <c r="BO8" s="294">
        <v>1156</v>
      </c>
      <c r="BP8" s="294">
        <v>0</v>
      </c>
      <c r="BQ8" s="292">
        <v>110831</v>
      </c>
      <c r="BR8" s="293">
        <v>1547841</v>
      </c>
      <c r="BS8" s="291">
        <v>454186</v>
      </c>
      <c r="BT8" s="294">
        <v>13816</v>
      </c>
      <c r="BU8" s="294">
        <v>0</v>
      </c>
      <c r="BV8" s="293">
        <v>2015843</v>
      </c>
      <c r="BW8" s="299"/>
      <c r="BX8" s="296">
        <v>99.999900786022735</v>
      </c>
      <c r="BZ8" s="264">
        <v>0</v>
      </c>
      <c r="CA8" s="297"/>
      <c r="CB8" s="245"/>
    </row>
    <row r="9" spans="1:80" ht="13.5" x14ac:dyDescent="0.25">
      <c r="A9" s="287">
        <v>3</v>
      </c>
      <c r="B9" s="288" t="s">
        <v>218</v>
      </c>
      <c r="D9" s="298"/>
      <c r="E9" s="290">
        <v>4824854</v>
      </c>
      <c r="F9" s="291">
        <v>102097615</v>
      </c>
      <c r="G9" s="291">
        <v>20318</v>
      </c>
      <c r="H9" s="291">
        <v>0</v>
      </c>
      <c r="I9" s="292">
        <v>106942787</v>
      </c>
      <c r="J9" s="293">
        <v>267863</v>
      </c>
      <c r="K9" s="294">
        <v>73</v>
      </c>
      <c r="L9" s="294">
        <v>13</v>
      </c>
      <c r="M9" s="294">
        <v>5</v>
      </c>
      <c r="N9" s="292">
        <v>267954</v>
      </c>
      <c r="O9" s="294">
        <v>58517</v>
      </c>
      <c r="P9" s="294">
        <v>260946</v>
      </c>
      <c r="Q9" s="294">
        <v>14</v>
      </c>
      <c r="R9" s="294">
        <v>0</v>
      </c>
      <c r="S9" s="292">
        <v>319477</v>
      </c>
      <c r="T9" s="293">
        <v>267666</v>
      </c>
      <c r="U9" s="294">
        <v>8799</v>
      </c>
      <c r="V9" s="294">
        <v>0</v>
      </c>
      <c r="W9" s="294">
        <v>0</v>
      </c>
      <c r="X9" s="292">
        <v>276465</v>
      </c>
      <c r="Y9" s="293">
        <v>268985</v>
      </c>
      <c r="Z9" s="294">
        <v>33569045</v>
      </c>
      <c r="AA9" s="294">
        <v>55</v>
      </c>
      <c r="AB9" s="294">
        <v>1</v>
      </c>
      <c r="AC9" s="292">
        <v>33838086</v>
      </c>
      <c r="AD9" s="293">
        <v>501753</v>
      </c>
      <c r="AE9" s="294">
        <v>3324135</v>
      </c>
      <c r="AF9" s="294">
        <v>1062</v>
      </c>
      <c r="AG9" s="294">
        <v>0</v>
      </c>
      <c r="AH9" s="292">
        <v>3826950</v>
      </c>
      <c r="AI9" s="293">
        <v>287532</v>
      </c>
      <c r="AJ9" s="294">
        <v>2393724</v>
      </c>
      <c r="AK9" s="294">
        <v>561</v>
      </c>
      <c r="AL9" s="294">
        <v>0</v>
      </c>
      <c r="AM9" s="292">
        <v>2681817</v>
      </c>
      <c r="AN9" s="293">
        <v>183401</v>
      </c>
      <c r="AO9" s="294">
        <v>558388</v>
      </c>
      <c r="AP9" s="294">
        <v>14792</v>
      </c>
      <c r="AQ9" s="294">
        <v>0</v>
      </c>
      <c r="AR9" s="292">
        <v>756581</v>
      </c>
      <c r="AS9" s="293">
        <v>526395</v>
      </c>
      <c r="AT9" s="294">
        <v>609460</v>
      </c>
      <c r="AU9" s="294">
        <v>4629</v>
      </c>
      <c r="AV9" s="294">
        <v>0</v>
      </c>
      <c r="AW9" s="292">
        <v>1140484</v>
      </c>
      <c r="AX9" s="293">
        <v>403355</v>
      </c>
      <c r="AY9" s="294">
        <v>33392063</v>
      </c>
      <c r="AZ9" s="294">
        <v>1598</v>
      </c>
      <c r="BA9" s="294">
        <v>0</v>
      </c>
      <c r="BB9" s="292">
        <v>33797016</v>
      </c>
      <c r="BC9" s="293">
        <v>404824</v>
      </c>
      <c r="BD9" s="294">
        <v>265804</v>
      </c>
      <c r="BE9" s="294">
        <v>4124</v>
      </c>
      <c r="BF9" s="294">
        <v>18</v>
      </c>
      <c r="BG9" s="292">
        <v>674770</v>
      </c>
      <c r="BH9" s="293">
        <v>381458</v>
      </c>
      <c r="BI9" s="294">
        <v>1230754</v>
      </c>
      <c r="BJ9" s="294">
        <v>13240</v>
      </c>
      <c r="BK9" s="294">
        <v>0</v>
      </c>
      <c r="BL9" s="292">
        <v>1625452</v>
      </c>
      <c r="BM9" s="293">
        <v>338236</v>
      </c>
      <c r="BN9" s="294">
        <v>23700686</v>
      </c>
      <c r="BO9" s="294">
        <v>2727</v>
      </c>
      <c r="BP9" s="294">
        <v>0</v>
      </c>
      <c r="BQ9" s="292">
        <v>24041649</v>
      </c>
      <c r="BR9" s="293">
        <v>3889985</v>
      </c>
      <c r="BS9" s="291">
        <v>99313877</v>
      </c>
      <c r="BT9" s="294">
        <v>42815</v>
      </c>
      <c r="BU9" s="294">
        <v>24</v>
      </c>
      <c r="BV9" s="293">
        <v>103246701</v>
      </c>
      <c r="BW9" s="299"/>
      <c r="BX9" s="296">
        <v>96.543866020622787</v>
      </c>
      <c r="BY9" s="263">
        <v>103246701</v>
      </c>
      <c r="BZ9" s="264">
        <v>0</v>
      </c>
      <c r="CA9" s="297"/>
      <c r="CB9" s="245"/>
    </row>
    <row r="10" spans="1:80" ht="13.5" x14ac:dyDescent="0.25">
      <c r="A10" s="287">
        <v>4</v>
      </c>
      <c r="B10" s="288" t="s">
        <v>219</v>
      </c>
      <c r="D10" s="298"/>
      <c r="E10" s="290">
        <v>506637</v>
      </c>
      <c r="F10" s="291">
        <v>213125</v>
      </c>
      <c r="G10" s="291">
        <v>5378</v>
      </c>
      <c r="H10" s="291">
        <v>0</v>
      </c>
      <c r="I10" s="292">
        <v>725140</v>
      </c>
      <c r="J10" s="293">
        <v>42202</v>
      </c>
      <c r="K10" s="294">
        <v>8262</v>
      </c>
      <c r="L10" s="294">
        <v>13</v>
      </c>
      <c r="M10" s="294">
        <v>0</v>
      </c>
      <c r="N10" s="292">
        <v>50477</v>
      </c>
      <c r="O10" s="294">
        <v>37029</v>
      </c>
      <c r="P10" s="294">
        <v>64819</v>
      </c>
      <c r="Q10" s="294">
        <v>130</v>
      </c>
      <c r="R10" s="294"/>
      <c r="S10" s="292">
        <v>101978</v>
      </c>
      <c r="T10" s="293">
        <v>52054</v>
      </c>
      <c r="U10" s="294">
        <v>0</v>
      </c>
      <c r="V10" s="294">
        <v>525</v>
      </c>
      <c r="W10" s="294">
        <v>0</v>
      </c>
      <c r="X10" s="292">
        <v>52579</v>
      </c>
      <c r="Y10" s="293">
        <v>36717</v>
      </c>
      <c r="Z10" s="294"/>
      <c r="AA10" s="294">
        <v>710</v>
      </c>
      <c r="AB10" s="294"/>
      <c r="AC10" s="292">
        <v>37427</v>
      </c>
      <c r="AD10" s="293">
        <v>43730</v>
      </c>
      <c r="AE10" s="294">
        <v>62278</v>
      </c>
      <c r="AF10" s="294">
        <v>1250</v>
      </c>
      <c r="AG10" s="294">
        <v>0</v>
      </c>
      <c r="AH10" s="292">
        <v>107258</v>
      </c>
      <c r="AI10" s="293">
        <v>37902</v>
      </c>
      <c r="AJ10" s="294">
        <v>675</v>
      </c>
      <c r="AK10" s="294">
        <v>366</v>
      </c>
      <c r="AL10" s="294">
        <v>0</v>
      </c>
      <c r="AM10" s="292">
        <v>38943</v>
      </c>
      <c r="AN10" s="293">
        <v>42685</v>
      </c>
      <c r="AO10" s="294">
        <v>53234</v>
      </c>
      <c r="AP10" s="294">
        <v>-135</v>
      </c>
      <c r="AQ10" s="294">
        <v>9</v>
      </c>
      <c r="AR10" s="292">
        <v>95793</v>
      </c>
      <c r="AS10" s="293">
        <v>37498</v>
      </c>
      <c r="AT10" s="294">
        <v>187</v>
      </c>
      <c r="AU10" s="294">
        <v>872</v>
      </c>
      <c r="AV10" s="294">
        <v>7</v>
      </c>
      <c r="AW10" s="292">
        <v>38564</v>
      </c>
      <c r="AX10" s="293">
        <v>35118</v>
      </c>
      <c r="AY10" s="294">
        <v>185</v>
      </c>
      <c r="AZ10" s="294">
        <v>1046</v>
      </c>
      <c r="BA10" s="294">
        <v>0</v>
      </c>
      <c r="BB10" s="292">
        <v>36349</v>
      </c>
      <c r="BC10" s="293">
        <v>35056</v>
      </c>
      <c r="BD10" s="294">
        <v>69</v>
      </c>
      <c r="BE10" s="294">
        <v>1857</v>
      </c>
      <c r="BF10" s="294">
        <v>0</v>
      </c>
      <c r="BG10" s="292">
        <v>36982</v>
      </c>
      <c r="BH10" s="293">
        <v>35746</v>
      </c>
      <c r="BI10" s="294">
        <v>24041</v>
      </c>
      <c r="BJ10" s="294">
        <v>788</v>
      </c>
      <c r="BK10" s="294">
        <v>0</v>
      </c>
      <c r="BL10" s="292">
        <v>60575</v>
      </c>
      <c r="BM10" s="293">
        <v>54458</v>
      </c>
      <c r="BN10" s="294">
        <v>2</v>
      </c>
      <c r="BO10" s="294">
        <v>707</v>
      </c>
      <c r="BP10" s="294">
        <v>16</v>
      </c>
      <c r="BQ10" s="292">
        <v>55183</v>
      </c>
      <c r="BR10" s="293">
        <v>490195</v>
      </c>
      <c r="BS10" s="291">
        <v>213752</v>
      </c>
      <c r="BT10" s="294">
        <v>8129</v>
      </c>
      <c r="BU10" s="294">
        <v>32</v>
      </c>
      <c r="BV10" s="293">
        <v>712108</v>
      </c>
      <c r="BW10" s="299"/>
      <c r="BX10" s="296">
        <v>98.20282979838376</v>
      </c>
      <c r="BY10" s="263">
        <v>712108</v>
      </c>
      <c r="BZ10" s="264">
        <v>0</v>
      </c>
      <c r="CA10" s="297"/>
      <c r="CB10" s="245"/>
    </row>
    <row r="11" spans="1:80" ht="13.5" x14ac:dyDescent="0.25">
      <c r="A11" s="287">
        <v>5</v>
      </c>
      <c r="B11" s="288" t="s">
        <v>220</v>
      </c>
      <c r="D11" s="298"/>
      <c r="E11" s="290">
        <v>6505143</v>
      </c>
      <c r="F11" s="291">
        <v>2269254</v>
      </c>
      <c r="G11" s="291">
        <v>13011</v>
      </c>
      <c r="H11" s="291">
        <v>0</v>
      </c>
      <c r="I11" s="292">
        <v>8787408</v>
      </c>
      <c r="J11" s="293">
        <v>394381</v>
      </c>
      <c r="K11" s="294">
        <v>459844</v>
      </c>
      <c r="L11" s="294">
        <v>75903</v>
      </c>
      <c r="M11" s="294">
        <v>0</v>
      </c>
      <c r="N11" s="292">
        <v>930128</v>
      </c>
      <c r="O11" s="294">
        <v>538070</v>
      </c>
      <c r="P11" s="294">
        <v>166364</v>
      </c>
      <c r="Q11" s="294">
        <v>14930</v>
      </c>
      <c r="R11" s="294">
        <v>0</v>
      </c>
      <c r="S11" s="292">
        <v>719364</v>
      </c>
      <c r="T11" s="293">
        <v>422472</v>
      </c>
      <c r="U11" s="294">
        <v>164893</v>
      </c>
      <c r="V11" s="294">
        <v>5038</v>
      </c>
      <c r="W11" s="294">
        <v>0</v>
      </c>
      <c r="X11" s="292">
        <v>592403</v>
      </c>
      <c r="Y11" s="293">
        <v>433396</v>
      </c>
      <c r="Z11" s="294">
        <v>207919</v>
      </c>
      <c r="AA11" s="294">
        <v>10620</v>
      </c>
      <c r="AB11" s="294">
        <v>0</v>
      </c>
      <c r="AC11" s="292">
        <v>651935</v>
      </c>
      <c r="AD11" s="293">
        <v>434166</v>
      </c>
      <c r="AE11" s="294">
        <v>100853</v>
      </c>
      <c r="AF11" s="294">
        <v>3675</v>
      </c>
      <c r="AG11" s="294">
        <v>0</v>
      </c>
      <c r="AH11" s="292">
        <v>538694</v>
      </c>
      <c r="AI11" s="293">
        <v>474137</v>
      </c>
      <c r="AJ11" s="294">
        <v>102820</v>
      </c>
      <c r="AK11" s="294">
        <v>64166</v>
      </c>
      <c r="AL11" s="294">
        <v>0</v>
      </c>
      <c r="AM11" s="292">
        <v>641123</v>
      </c>
      <c r="AN11" s="293">
        <v>463240</v>
      </c>
      <c r="AO11" s="294">
        <v>212274</v>
      </c>
      <c r="AP11" s="294">
        <v>12822</v>
      </c>
      <c r="AQ11" s="294">
        <v>0</v>
      </c>
      <c r="AR11" s="292">
        <v>688336</v>
      </c>
      <c r="AS11" s="293">
        <v>515084</v>
      </c>
      <c r="AT11" s="294">
        <v>101716</v>
      </c>
      <c r="AU11" s="294">
        <v>16821</v>
      </c>
      <c r="AV11" s="294">
        <v>0</v>
      </c>
      <c r="AW11" s="292">
        <v>633621</v>
      </c>
      <c r="AX11" s="293">
        <v>522298</v>
      </c>
      <c r="AY11" s="294">
        <v>124859</v>
      </c>
      <c r="AZ11" s="294">
        <v>7670</v>
      </c>
      <c r="BA11" s="294">
        <v>0</v>
      </c>
      <c r="BB11" s="292">
        <v>654827</v>
      </c>
      <c r="BC11" s="293">
        <v>426523</v>
      </c>
      <c r="BD11" s="294">
        <v>244179</v>
      </c>
      <c r="BE11" s="294">
        <v>4645</v>
      </c>
      <c r="BF11" s="294">
        <v>0</v>
      </c>
      <c r="BG11" s="292">
        <v>675347</v>
      </c>
      <c r="BH11" s="293">
        <v>542100</v>
      </c>
      <c r="BI11" s="294">
        <v>161520</v>
      </c>
      <c r="BJ11" s="294">
        <v>44324</v>
      </c>
      <c r="BK11" s="294">
        <v>0</v>
      </c>
      <c r="BL11" s="292">
        <v>747944</v>
      </c>
      <c r="BM11" s="293">
        <v>688407</v>
      </c>
      <c r="BN11" s="294">
        <v>244112</v>
      </c>
      <c r="BO11" s="294">
        <v>58258</v>
      </c>
      <c r="BP11" s="294">
        <v>1003</v>
      </c>
      <c r="BQ11" s="292">
        <v>991780</v>
      </c>
      <c r="BR11" s="293">
        <v>5854274</v>
      </c>
      <c r="BS11" s="291">
        <v>2291353</v>
      </c>
      <c r="BT11" s="294">
        <v>318872</v>
      </c>
      <c r="BU11" s="294">
        <v>1003</v>
      </c>
      <c r="BV11" s="293">
        <v>8465502</v>
      </c>
      <c r="BW11" s="299"/>
      <c r="BX11" s="296">
        <v>96.336735474214919</v>
      </c>
      <c r="BY11" s="263">
        <v>8465502</v>
      </c>
      <c r="BZ11" s="264">
        <v>0</v>
      </c>
      <c r="CA11" s="297"/>
      <c r="CB11" s="245"/>
    </row>
    <row r="12" spans="1:80" ht="13.5" x14ac:dyDescent="0.25">
      <c r="A12" s="287">
        <v>6</v>
      </c>
      <c r="B12" s="288" t="s">
        <v>221</v>
      </c>
      <c r="D12" s="289"/>
      <c r="E12" s="290">
        <v>5249060</v>
      </c>
      <c r="F12" s="291">
        <v>914879</v>
      </c>
      <c r="G12" s="291">
        <v>151029</v>
      </c>
      <c r="H12" s="291">
        <v>0</v>
      </c>
      <c r="I12" s="292">
        <v>6314968</v>
      </c>
      <c r="J12" s="293">
        <v>507360</v>
      </c>
      <c r="K12" s="294">
        <v>1819</v>
      </c>
      <c r="L12" s="294">
        <v>2339</v>
      </c>
      <c r="M12" s="294">
        <v>0</v>
      </c>
      <c r="N12" s="292">
        <v>511518</v>
      </c>
      <c r="O12" s="294">
        <v>410400</v>
      </c>
      <c r="P12" s="294">
        <v>531</v>
      </c>
      <c r="Q12" s="294">
        <v>9289</v>
      </c>
      <c r="R12" s="294">
        <v>0</v>
      </c>
      <c r="S12" s="292">
        <v>420220</v>
      </c>
      <c r="T12" s="293">
        <v>460311</v>
      </c>
      <c r="U12" s="294">
        <v>484367</v>
      </c>
      <c r="V12" s="294">
        <v>3611</v>
      </c>
      <c r="W12" s="294">
        <v>0</v>
      </c>
      <c r="X12" s="292">
        <v>948289</v>
      </c>
      <c r="Y12" s="293">
        <v>414377</v>
      </c>
      <c r="Z12" s="294">
        <v>1142</v>
      </c>
      <c r="AA12" s="294">
        <v>48378</v>
      </c>
      <c r="AB12" s="294">
        <v>0</v>
      </c>
      <c r="AC12" s="292">
        <v>463897</v>
      </c>
      <c r="AD12" s="293">
        <v>425690</v>
      </c>
      <c r="AE12" s="294">
        <v>4643</v>
      </c>
      <c r="AF12" s="294">
        <v>2918</v>
      </c>
      <c r="AG12" s="294">
        <v>0</v>
      </c>
      <c r="AH12" s="292">
        <v>433251</v>
      </c>
      <c r="AI12" s="293">
        <v>459991</v>
      </c>
      <c r="AJ12" s="294">
        <v>35246</v>
      </c>
      <c r="AK12" s="294">
        <v>2952</v>
      </c>
      <c r="AL12" s="294">
        <v>0</v>
      </c>
      <c r="AM12" s="292">
        <v>498189</v>
      </c>
      <c r="AN12" s="293">
        <v>490925</v>
      </c>
      <c r="AO12" s="294">
        <v>1585</v>
      </c>
      <c r="AP12" s="294">
        <v>3561</v>
      </c>
      <c r="AQ12" s="294">
        <v>815</v>
      </c>
      <c r="AR12" s="292">
        <v>496886</v>
      </c>
      <c r="AS12" s="293">
        <v>486129</v>
      </c>
      <c r="AT12" s="294">
        <v>111049</v>
      </c>
      <c r="AU12" s="294">
        <v>-41495</v>
      </c>
      <c r="AV12" s="294">
        <v>0</v>
      </c>
      <c r="AW12" s="292">
        <v>555683</v>
      </c>
      <c r="AX12" s="293">
        <v>367013</v>
      </c>
      <c r="AY12" s="294">
        <v>5760</v>
      </c>
      <c r="AZ12" s="294">
        <v>3628</v>
      </c>
      <c r="BA12" s="294">
        <v>0</v>
      </c>
      <c r="BB12" s="292">
        <v>376401</v>
      </c>
      <c r="BC12" s="293">
        <v>415064</v>
      </c>
      <c r="BD12" s="294">
        <v>5218</v>
      </c>
      <c r="BE12" s="294">
        <v>2756</v>
      </c>
      <c r="BF12" s="294">
        <v>3</v>
      </c>
      <c r="BG12" s="292">
        <v>423041</v>
      </c>
      <c r="BH12" s="293">
        <v>414281</v>
      </c>
      <c r="BI12" s="294">
        <v>146745</v>
      </c>
      <c r="BJ12" s="294">
        <v>1335</v>
      </c>
      <c r="BK12" s="294">
        <v>0</v>
      </c>
      <c r="BL12" s="292">
        <v>562361</v>
      </c>
      <c r="BM12" s="293">
        <v>326873</v>
      </c>
      <c r="BN12" s="294">
        <v>41221</v>
      </c>
      <c r="BO12" s="294">
        <v>4249</v>
      </c>
      <c r="BP12" s="294">
        <v>33477</v>
      </c>
      <c r="BQ12" s="292">
        <v>405820</v>
      </c>
      <c r="BR12" s="293">
        <v>5178414</v>
      </c>
      <c r="BS12" s="291">
        <v>839326</v>
      </c>
      <c r="BT12" s="294">
        <v>43521</v>
      </c>
      <c r="BU12" s="294">
        <v>34295</v>
      </c>
      <c r="BV12" s="293">
        <v>6095556</v>
      </c>
      <c r="BW12" s="299"/>
      <c r="BX12" s="296">
        <v>96.52552475325291</v>
      </c>
      <c r="BY12" s="263">
        <v>6095556</v>
      </c>
      <c r="BZ12" s="264">
        <v>0</v>
      </c>
      <c r="CA12" s="297"/>
      <c r="CB12" s="245"/>
    </row>
    <row r="13" spans="1:80" ht="13.5" x14ac:dyDescent="0.25">
      <c r="A13" s="287">
        <v>7</v>
      </c>
      <c r="B13" s="288" t="s">
        <v>222</v>
      </c>
      <c r="D13" s="289"/>
      <c r="E13" s="290">
        <v>87477</v>
      </c>
      <c r="F13" s="291">
        <v>136498</v>
      </c>
      <c r="G13" s="291">
        <v>3432</v>
      </c>
      <c r="H13" s="291">
        <v>0</v>
      </c>
      <c r="I13" s="292">
        <v>227407</v>
      </c>
      <c r="J13" s="293">
        <v>6216</v>
      </c>
      <c r="K13" s="294">
        <v>6559</v>
      </c>
      <c r="L13" s="294">
        <v>0</v>
      </c>
      <c r="M13" s="294">
        <v>0</v>
      </c>
      <c r="N13" s="292">
        <v>12775</v>
      </c>
      <c r="O13" s="294">
        <v>6631</v>
      </c>
      <c r="P13" s="294">
        <v>7496</v>
      </c>
      <c r="Q13" s="294">
        <v>25</v>
      </c>
      <c r="R13" s="294"/>
      <c r="S13" s="292">
        <v>14152</v>
      </c>
      <c r="T13" s="293">
        <v>7658</v>
      </c>
      <c r="U13" s="294">
        <v>8478</v>
      </c>
      <c r="V13" s="294">
        <v>0</v>
      </c>
      <c r="W13" s="294">
        <v>0</v>
      </c>
      <c r="X13" s="292">
        <v>16136</v>
      </c>
      <c r="Y13" s="293">
        <v>7883</v>
      </c>
      <c r="Z13" s="294">
        <v>7515</v>
      </c>
      <c r="AA13" s="294">
        <v>1322</v>
      </c>
      <c r="AB13" s="294"/>
      <c r="AC13" s="292">
        <v>16720</v>
      </c>
      <c r="AD13" s="293">
        <v>6502</v>
      </c>
      <c r="AE13" s="294">
        <v>56</v>
      </c>
      <c r="AF13" s="294">
        <v>-335</v>
      </c>
      <c r="AG13" s="294">
        <v>0</v>
      </c>
      <c r="AH13" s="292">
        <v>6223</v>
      </c>
      <c r="AI13" s="293">
        <v>8895</v>
      </c>
      <c r="AJ13" s="294">
        <v>25026</v>
      </c>
      <c r="AK13" s="294">
        <v>47</v>
      </c>
      <c r="AL13" s="294">
        <v>0</v>
      </c>
      <c r="AM13" s="292">
        <v>33968</v>
      </c>
      <c r="AN13" s="293">
        <v>7579</v>
      </c>
      <c r="AO13" s="294">
        <v>11861</v>
      </c>
      <c r="AP13" s="294">
        <v>220</v>
      </c>
      <c r="AQ13" s="294">
        <v>0</v>
      </c>
      <c r="AR13" s="292">
        <v>19660</v>
      </c>
      <c r="AS13" s="293">
        <v>10009</v>
      </c>
      <c r="AT13" s="294">
        <v>12150</v>
      </c>
      <c r="AU13" s="294">
        <v>0</v>
      </c>
      <c r="AV13" s="294">
        <v>0</v>
      </c>
      <c r="AW13" s="292">
        <v>22159</v>
      </c>
      <c r="AX13" s="293">
        <v>8952</v>
      </c>
      <c r="AY13" s="294">
        <v>13074</v>
      </c>
      <c r="AZ13" s="294">
        <v>0</v>
      </c>
      <c r="BA13" s="294">
        <v>0</v>
      </c>
      <c r="BB13" s="292">
        <v>22026</v>
      </c>
      <c r="BC13" s="293">
        <v>5599</v>
      </c>
      <c r="BD13" s="294">
        <v>6770</v>
      </c>
      <c r="BE13" s="294">
        <v>0</v>
      </c>
      <c r="BF13" s="294">
        <v>0</v>
      </c>
      <c r="BG13" s="292">
        <v>12369</v>
      </c>
      <c r="BH13" s="293">
        <v>7845</v>
      </c>
      <c r="BI13" s="294">
        <v>17774</v>
      </c>
      <c r="BJ13" s="294">
        <v>0</v>
      </c>
      <c r="BK13" s="294">
        <v>0</v>
      </c>
      <c r="BL13" s="292">
        <v>25619</v>
      </c>
      <c r="BM13" s="293">
        <v>10071</v>
      </c>
      <c r="BN13" s="294">
        <v>9125</v>
      </c>
      <c r="BO13" s="294">
        <v>510</v>
      </c>
      <c r="BP13" s="294"/>
      <c r="BQ13" s="292">
        <v>19706</v>
      </c>
      <c r="BR13" s="293">
        <v>93840</v>
      </c>
      <c r="BS13" s="291">
        <v>125884</v>
      </c>
      <c r="BT13" s="294">
        <v>1789</v>
      </c>
      <c r="BU13" s="294">
        <v>0</v>
      </c>
      <c r="BV13" s="293">
        <v>221513</v>
      </c>
      <c r="BW13" s="299"/>
      <c r="BX13" s="296">
        <v>97.408171252424069</v>
      </c>
      <c r="BY13" s="263">
        <v>221513</v>
      </c>
      <c r="BZ13" s="264">
        <v>0</v>
      </c>
      <c r="CA13" s="297"/>
      <c r="CB13" s="245"/>
    </row>
    <row r="14" spans="1:80" ht="13.5" x14ac:dyDescent="0.25">
      <c r="A14" s="287">
        <v>8</v>
      </c>
      <c r="B14" s="288" t="s">
        <v>223</v>
      </c>
      <c r="D14" s="289"/>
      <c r="E14" s="290">
        <v>2288169</v>
      </c>
      <c r="F14" s="291">
        <v>24187924</v>
      </c>
      <c r="G14" s="291">
        <v>68574</v>
      </c>
      <c r="H14" s="291">
        <v>7981006</v>
      </c>
      <c r="I14" s="292">
        <v>34525673</v>
      </c>
      <c r="J14" s="293">
        <v>97620</v>
      </c>
      <c r="K14" s="294">
        <v>1328011</v>
      </c>
      <c r="L14" s="294">
        <v>0</v>
      </c>
      <c r="M14" s="294">
        <v>0</v>
      </c>
      <c r="N14" s="292">
        <v>1425631</v>
      </c>
      <c r="O14" s="294">
        <v>142170</v>
      </c>
      <c r="P14" s="294">
        <v>2198989</v>
      </c>
      <c r="Q14" s="294">
        <v>0</v>
      </c>
      <c r="R14" s="294">
        <v>0</v>
      </c>
      <c r="S14" s="292">
        <v>2341159</v>
      </c>
      <c r="T14" s="293">
        <v>187894</v>
      </c>
      <c r="U14" s="294">
        <v>1714217</v>
      </c>
      <c r="V14" s="294">
        <v>20517</v>
      </c>
      <c r="W14" s="294">
        <v>403307</v>
      </c>
      <c r="X14" s="292">
        <v>2325935</v>
      </c>
      <c r="Y14" s="293">
        <v>198302</v>
      </c>
      <c r="Z14" s="294">
        <v>2076439</v>
      </c>
      <c r="AA14" s="294">
        <v>627</v>
      </c>
      <c r="AB14" s="294">
        <v>27028</v>
      </c>
      <c r="AC14" s="292">
        <v>2302396</v>
      </c>
      <c r="AD14" s="293">
        <v>160989</v>
      </c>
      <c r="AE14" s="294">
        <v>2216846</v>
      </c>
      <c r="AF14" s="294">
        <v>2786</v>
      </c>
      <c r="AG14" s="294">
        <v>0</v>
      </c>
      <c r="AH14" s="292">
        <v>2380621</v>
      </c>
      <c r="AI14" s="293">
        <v>90905</v>
      </c>
      <c r="AJ14" s="294">
        <v>2094557</v>
      </c>
      <c r="AK14" s="294">
        <v>3662</v>
      </c>
      <c r="AL14" s="294">
        <v>2925634</v>
      </c>
      <c r="AM14" s="292">
        <v>5114758</v>
      </c>
      <c r="AN14" s="293">
        <v>233688</v>
      </c>
      <c r="AO14" s="294">
        <v>1576166</v>
      </c>
      <c r="AP14" s="294">
        <v>104</v>
      </c>
      <c r="AQ14" s="294">
        <v>0</v>
      </c>
      <c r="AR14" s="292">
        <v>1809958</v>
      </c>
      <c r="AS14" s="293">
        <v>152725</v>
      </c>
      <c r="AT14" s="294">
        <v>2165921</v>
      </c>
      <c r="AU14" s="294">
        <v>1792</v>
      </c>
      <c r="AV14" s="294">
        <v>95</v>
      </c>
      <c r="AW14" s="292">
        <v>2320533</v>
      </c>
      <c r="AX14" s="293">
        <v>142686</v>
      </c>
      <c r="AY14" s="294">
        <v>1797684</v>
      </c>
      <c r="AZ14" s="294">
        <v>926</v>
      </c>
      <c r="BA14" s="294">
        <v>5115550</v>
      </c>
      <c r="BB14" s="292">
        <v>7056846</v>
      </c>
      <c r="BC14" s="293">
        <v>120707</v>
      </c>
      <c r="BD14" s="294">
        <v>1716791</v>
      </c>
      <c r="BE14" s="294">
        <v>417</v>
      </c>
      <c r="BF14" s="294">
        <v>0</v>
      </c>
      <c r="BG14" s="292">
        <v>1837915</v>
      </c>
      <c r="BH14" s="293">
        <v>162342</v>
      </c>
      <c r="BI14" s="294">
        <v>1835904</v>
      </c>
      <c r="BJ14" s="294">
        <v>754</v>
      </c>
      <c r="BK14" s="294">
        <v>141678</v>
      </c>
      <c r="BL14" s="292">
        <v>2140678</v>
      </c>
      <c r="BM14" s="293">
        <v>190766</v>
      </c>
      <c r="BN14" s="294">
        <v>2884637</v>
      </c>
      <c r="BO14" s="294">
        <v>14040</v>
      </c>
      <c r="BP14" s="294">
        <v>0</v>
      </c>
      <c r="BQ14" s="292">
        <v>3089443</v>
      </c>
      <c r="BR14" s="293">
        <v>1880794</v>
      </c>
      <c r="BS14" s="291">
        <v>23606162</v>
      </c>
      <c r="BT14" s="294">
        <v>45625</v>
      </c>
      <c r="BU14" s="294">
        <v>8613292</v>
      </c>
      <c r="BV14" s="293">
        <v>34145873</v>
      </c>
      <c r="BW14" s="299"/>
      <c r="BX14" s="296">
        <v>98.89994903213038</v>
      </c>
      <c r="BY14" s="263">
        <v>34225875</v>
      </c>
      <c r="BZ14" s="264">
        <v>-80002</v>
      </c>
      <c r="CA14" s="297"/>
      <c r="CB14" s="245"/>
    </row>
    <row r="15" spans="1:80" ht="13.5" x14ac:dyDescent="0.25">
      <c r="A15" s="287">
        <v>9</v>
      </c>
      <c r="B15" s="288" t="s">
        <v>224</v>
      </c>
      <c r="D15" s="300"/>
      <c r="E15" s="290">
        <v>396387</v>
      </c>
      <c r="F15" s="291">
        <v>236</v>
      </c>
      <c r="G15" s="291">
        <v>3347</v>
      </c>
      <c r="H15" s="291">
        <v>4</v>
      </c>
      <c r="I15" s="292">
        <v>399974</v>
      </c>
      <c r="J15" s="293">
        <v>25273</v>
      </c>
      <c r="K15" s="294">
        <v>0</v>
      </c>
      <c r="L15" s="294">
        <v>0</v>
      </c>
      <c r="M15" s="294">
        <v>0</v>
      </c>
      <c r="N15" s="292">
        <v>25273</v>
      </c>
      <c r="O15" s="294">
        <v>26963</v>
      </c>
      <c r="P15" s="294">
        <v>65</v>
      </c>
      <c r="Q15" s="294">
        <v>145</v>
      </c>
      <c r="R15" s="294">
        <v>0</v>
      </c>
      <c r="S15" s="292">
        <v>27173</v>
      </c>
      <c r="T15" s="293">
        <v>27187</v>
      </c>
      <c r="U15" s="294">
        <v>74</v>
      </c>
      <c r="V15" s="294">
        <v>1852</v>
      </c>
      <c r="W15" s="294">
        <v>4</v>
      </c>
      <c r="X15" s="292">
        <v>29117</v>
      </c>
      <c r="Y15" s="293">
        <v>29249</v>
      </c>
      <c r="Z15" s="294">
        <v>29</v>
      </c>
      <c r="AA15" s="294">
        <v>287</v>
      </c>
      <c r="AB15" s="294">
        <v>0</v>
      </c>
      <c r="AC15" s="292">
        <v>29565</v>
      </c>
      <c r="AD15" s="293">
        <v>27878</v>
      </c>
      <c r="AE15" s="294">
        <v>66</v>
      </c>
      <c r="AF15" s="294">
        <v>172</v>
      </c>
      <c r="AG15" s="294">
        <v>0</v>
      </c>
      <c r="AH15" s="292">
        <v>28116</v>
      </c>
      <c r="AI15" s="293">
        <v>30272</v>
      </c>
      <c r="AJ15" s="294">
        <v>78</v>
      </c>
      <c r="AK15" s="294">
        <v>371</v>
      </c>
      <c r="AL15" s="294">
        <v>0</v>
      </c>
      <c r="AM15" s="292">
        <v>30721</v>
      </c>
      <c r="AN15" s="293">
        <v>27709</v>
      </c>
      <c r="AO15" s="294">
        <v>0</v>
      </c>
      <c r="AP15" s="294">
        <v>19</v>
      </c>
      <c r="AQ15" s="294">
        <v>0</v>
      </c>
      <c r="AR15" s="292">
        <v>27728</v>
      </c>
      <c r="AS15" s="293">
        <v>38151</v>
      </c>
      <c r="AT15" s="294">
        <v>8</v>
      </c>
      <c r="AU15" s="294">
        <v>103</v>
      </c>
      <c r="AV15" s="294">
        <v>0</v>
      </c>
      <c r="AW15" s="292">
        <v>38262</v>
      </c>
      <c r="AX15" s="293">
        <v>36313</v>
      </c>
      <c r="AY15" s="294">
        <v>13</v>
      </c>
      <c r="AZ15" s="294">
        <v>67</v>
      </c>
      <c r="BA15" s="294">
        <v>0</v>
      </c>
      <c r="BB15" s="292">
        <v>36393</v>
      </c>
      <c r="BC15" s="293">
        <v>27624</v>
      </c>
      <c r="BD15" s="294">
        <v>0</v>
      </c>
      <c r="BE15" s="294">
        <v>62</v>
      </c>
      <c r="BF15" s="294">
        <v>0</v>
      </c>
      <c r="BG15" s="292">
        <v>27686</v>
      </c>
      <c r="BH15" s="293">
        <v>31450</v>
      </c>
      <c r="BI15" s="294">
        <v>148</v>
      </c>
      <c r="BJ15" s="294">
        <v>24</v>
      </c>
      <c r="BK15" s="294">
        <v>0</v>
      </c>
      <c r="BL15" s="292">
        <v>31622</v>
      </c>
      <c r="BM15" s="293">
        <v>54663</v>
      </c>
      <c r="BN15" s="294">
        <v>219</v>
      </c>
      <c r="BO15" s="294">
        <v>590</v>
      </c>
      <c r="BP15" s="294">
        <v>0</v>
      </c>
      <c r="BQ15" s="292">
        <v>55472</v>
      </c>
      <c r="BR15" s="293">
        <v>382732</v>
      </c>
      <c r="BS15" s="291">
        <v>700</v>
      </c>
      <c r="BT15" s="294">
        <v>3692</v>
      </c>
      <c r="BU15" s="294">
        <v>4</v>
      </c>
      <c r="BV15" s="293">
        <v>387128</v>
      </c>
      <c r="BW15" s="299"/>
      <c r="BX15" s="296">
        <v>96.78829123893054</v>
      </c>
      <c r="BY15" s="263">
        <v>387128</v>
      </c>
      <c r="BZ15" s="264">
        <v>0</v>
      </c>
      <c r="CA15" s="297"/>
      <c r="CB15" s="245"/>
    </row>
    <row r="16" spans="1:80" ht="13.5" x14ac:dyDescent="0.25">
      <c r="A16" s="287">
        <v>10</v>
      </c>
      <c r="B16" s="301" t="s">
        <v>225</v>
      </c>
      <c r="D16" s="300"/>
      <c r="E16" s="290">
        <v>261874</v>
      </c>
      <c r="F16" s="291">
        <v>168</v>
      </c>
      <c r="G16" s="291">
        <v>3516</v>
      </c>
      <c r="H16" s="291">
        <v>77341348</v>
      </c>
      <c r="I16" s="292">
        <v>77606906</v>
      </c>
      <c r="J16" s="293">
        <v>13997</v>
      </c>
      <c r="K16" s="294">
        <v>2</v>
      </c>
      <c r="L16" s="294">
        <v>14</v>
      </c>
      <c r="M16" s="294">
        <v>0</v>
      </c>
      <c r="N16" s="292">
        <v>14013</v>
      </c>
      <c r="O16" s="294">
        <v>15331</v>
      </c>
      <c r="P16" s="294">
        <v>149</v>
      </c>
      <c r="Q16" s="294">
        <v>308</v>
      </c>
      <c r="R16" s="294">
        <v>1000000</v>
      </c>
      <c r="S16" s="292">
        <v>1015788</v>
      </c>
      <c r="T16" s="293">
        <v>24169</v>
      </c>
      <c r="U16" s="294">
        <v>0</v>
      </c>
      <c r="V16" s="294">
        <v>339</v>
      </c>
      <c r="W16" s="294">
        <v>72000</v>
      </c>
      <c r="X16" s="292">
        <v>96508</v>
      </c>
      <c r="Y16" s="293">
        <v>36884</v>
      </c>
      <c r="Z16" s="294">
        <v>0</v>
      </c>
      <c r="AA16" s="294">
        <v>1260</v>
      </c>
      <c r="AB16" s="294">
        <v>3779311</v>
      </c>
      <c r="AC16" s="292">
        <v>3817455</v>
      </c>
      <c r="AD16" s="293">
        <v>6775</v>
      </c>
      <c r="AE16" s="294">
        <v>0</v>
      </c>
      <c r="AF16" s="294">
        <v>23</v>
      </c>
      <c r="AG16" s="294">
        <v>5000000</v>
      </c>
      <c r="AH16" s="292">
        <v>5006798</v>
      </c>
      <c r="AI16" s="293">
        <v>15744</v>
      </c>
      <c r="AJ16" s="294">
        <v>0</v>
      </c>
      <c r="AK16" s="294">
        <v>834</v>
      </c>
      <c r="AL16" s="294">
        <v>89606</v>
      </c>
      <c r="AM16" s="292">
        <v>106184</v>
      </c>
      <c r="AN16" s="293">
        <v>16005</v>
      </c>
      <c r="AO16" s="294">
        <v>124</v>
      </c>
      <c r="AP16" s="294">
        <v>44</v>
      </c>
      <c r="AQ16" s="294">
        <v>2000000</v>
      </c>
      <c r="AR16" s="292">
        <v>2016173</v>
      </c>
      <c r="AS16" s="293">
        <v>15502</v>
      </c>
      <c r="AT16" s="294">
        <v>36</v>
      </c>
      <c r="AU16" s="294">
        <v>348</v>
      </c>
      <c r="AV16" s="294">
        <v>3771000</v>
      </c>
      <c r="AW16" s="292">
        <v>3786886</v>
      </c>
      <c r="AX16" s="293">
        <v>16744</v>
      </c>
      <c r="AY16" s="294">
        <v>0</v>
      </c>
      <c r="AZ16" s="294">
        <v>107</v>
      </c>
      <c r="BA16" s="294">
        <v>11572123</v>
      </c>
      <c r="BB16" s="292">
        <v>11588974</v>
      </c>
      <c r="BC16" s="293">
        <v>14604</v>
      </c>
      <c r="BD16" s="294">
        <v>484</v>
      </c>
      <c r="BE16" s="294">
        <v>0</v>
      </c>
      <c r="BF16" s="294">
        <v>30300008</v>
      </c>
      <c r="BG16" s="292">
        <v>30315096</v>
      </c>
      <c r="BH16" s="293">
        <v>15469</v>
      </c>
      <c r="BI16" s="294">
        <v>0</v>
      </c>
      <c r="BJ16" s="294">
        <v>0</v>
      </c>
      <c r="BK16" s="294">
        <v>13000000</v>
      </c>
      <c r="BL16" s="292">
        <v>13015469</v>
      </c>
      <c r="BM16" s="293">
        <v>21708</v>
      </c>
      <c r="BN16" s="294">
        <v>384</v>
      </c>
      <c r="BO16" s="294">
        <v>1957</v>
      </c>
      <c r="BP16" s="294">
        <v>4000006</v>
      </c>
      <c r="BQ16" s="292">
        <v>4024055</v>
      </c>
      <c r="BR16" s="293">
        <v>212932</v>
      </c>
      <c r="BS16" s="291">
        <v>1179</v>
      </c>
      <c r="BT16" s="294">
        <v>5234</v>
      </c>
      <c r="BU16" s="294">
        <v>74584054</v>
      </c>
      <c r="BV16" s="293">
        <v>74803399</v>
      </c>
      <c r="BW16" s="299"/>
      <c r="BX16" s="296">
        <v>96.387554736430275</v>
      </c>
      <c r="BY16" s="263">
        <v>74803399</v>
      </c>
      <c r="BZ16" s="264">
        <v>0</v>
      </c>
      <c r="CA16" s="297"/>
      <c r="CB16" s="245"/>
    </row>
    <row r="17" spans="1:80" ht="13.5" x14ac:dyDescent="0.25">
      <c r="A17" s="287">
        <v>11</v>
      </c>
      <c r="B17" s="288" t="s">
        <v>226</v>
      </c>
      <c r="D17" s="298"/>
      <c r="E17" s="290">
        <v>426306</v>
      </c>
      <c r="F17" s="291">
        <v>37799</v>
      </c>
      <c r="G17" s="291">
        <v>4790</v>
      </c>
      <c r="H17" s="291">
        <v>0</v>
      </c>
      <c r="I17" s="292">
        <v>468895</v>
      </c>
      <c r="J17" s="293">
        <v>23789</v>
      </c>
      <c r="K17" s="294">
        <v>2431</v>
      </c>
      <c r="L17" s="294">
        <v>0</v>
      </c>
      <c r="M17" s="294">
        <v>0</v>
      </c>
      <c r="N17" s="292">
        <v>26220</v>
      </c>
      <c r="O17" s="294">
        <v>37006</v>
      </c>
      <c r="P17" s="294">
        <v>2880</v>
      </c>
      <c r="Q17" s="294">
        <v>79</v>
      </c>
      <c r="R17" s="294">
        <v>0</v>
      </c>
      <c r="S17" s="292">
        <v>39965</v>
      </c>
      <c r="T17" s="293">
        <v>27759</v>
      </c>
      <c r="U17" s="294">
        <v>2885</v>
      </c>
      <c r="V17" s="294">
        <v>29</v>
      </c>
      <c r="W17" s="294">
        <v>0</v>
      </c>
      <c r="X17" s="292">
        <v>30673</v>
      </c>
      <c r="Y17" s="293">
        <v>30348</v>
      </c>
      <c r="Z17" s="294">
        <v>5627</v>
      </c>
      <c r="AA17" s="294">
        <v>0</v>
      </c>
      <c r="AB17" s="294">
        <v>0</v>
      </c>
      <c r="AC17" s="292">
        <v>35975</v>
      </c>
      <c r="AD17" s="293">
        <v>40785</v>
      </c>
      <c r="AE17" s="294">
        <v>2560</v>
      </c>
      <c r="AF17" s="294">
        <v>310</v>
      </c>
      <c r="AG17" s="294">
        <v>0</v>
      </c>
      <c r="AH17" s="292">
        <v>43655</v>
      </c>
      <c r="AI17" s="293">
        <v>26108</v>
      </c>
      <c r="AJ17" s="294">
        <v>4134</v>
      </c>
      <c r="AK17" s="294">
        <v>201</v>
      </c>
      <c r="AL17" s="294">
        <v>0</v>
      </c>
      <c r="AM17" s="292">
        <v>30443</v>
      </c>
      <c r="AN17" s="293">
        <v>40149</v>
      </c>
      <c r="AO17" s="294">
        <v>2188</v>
      </c>
      <c r="AP17" s="294">
        <v>30</v>
      </c>
      <c r="AQ17" s="294">
        <v>0</v>
      </c>
      <c r="AR17" s="292">
        <v>42367</v>
      </c>
      <c r="AS17" s="293">
        <v>27972</v>
      </c>
      <c r="AT17" s="294">
        <v>6026</v>
      </c>
      <c r="AU17" s="294">
        <v>160</v>
      </c>
      <c r="AV17" s="294">
        <v>0</v>
      </c>
      <c r="AW17" s="292">
        <v>34158</v>
      </c>
      <c r="AX17" s="293">
        <v>27308</v>
      </c>
      <c r="AY17" s="294">
        <v>3246</v>
      </c>
      <c r="AZ17" s="294">
        <v>-10</v>
      </c>
      <c r="BA17" s="294">
        <v>0</v>
      </c>
      <c r="BB17" s="292">
        <v>30544</v>
      </c>
      <c r="BC17" s="293">
        <v>36817</v>
      </c>
      <c r="BD17" s="294">
        <v>2236</v>
      </c>
      <c r="BE17" s="294">
        <v>416</v>
      </c>
      <c r="BF17" s="294">
        <v>0</v>
      </c>
      <c r="BG17" s="292">
        <v>39469</v>
      </c>
      <c r="BH17" s="293">
        <v>31753</v>
      </c>
      <c r="BI17" s="294">
        <v>2262</v>
      </c>
      <c r="BJ17" s="294">
        <v>1140</v>
      </c>
      <c r="BK17" s="294">
        <v>0</v>
      </c>
      <c r="BL17" s="292">
        <v>35155</v>
      </c>
      <c r="BM17" s="293">
        <v>35418</v>
      </c>
      <c r="BN17" s="294">
        <v>4659</v>
      </c>
      <c r="BO17" s="294">
        <v>1289</v>
      </c>
      <c r="BP17" s="294">
        <v>776</v>
      </c>
      <c r="BQ17" s="292">
        <v>42142</v>
      </c>
      <c r="BR17" s="293">
        <v>385212</v>
      </c>
      <c r="BS17" s="291">
        <v>41134</v>
      </c>
      <c r="BT17" s="294">
        <v>3644</v>
      </c>
      <c r="BU17" s="294">
        <v>776</v>
      </c>
      <c r="BV17" s="293">
        <v>430766</v>
      </c>
      <c r="BW17" s="299"/>
      <c r="BX17" s="296">
        <v>91.868328730312754</v>
      </c>
      <c r="BY17" s="263">
        <v>430766</v>
      </c>
      <c r="BZ17" s="264">
        <v>0</v>
      </c>
      <c r="CA17" s="297"/>
      <c r="CB17" s="245"/>
    </row>
    <row r="18" spans="1:80" ht="13.5" x14ac:dyDescent="0.25">
      <c r="A18" s="287">
        <v>12</v>
      </c>
      <c r="B18" s="262" t="s">
        <v>227</v>
      </c>
      <c r="D18" s="289"/>
      <c r="E18" s="290">
        <v>272248</v>
      </c>
      <c r="F18" s="291">
        <v>498</v>
      </c>
      <c r="G18" s="291">
        <v>1034</v>
      </c>
      <c r="H18" s="291">
        <v>0</v>
      </c>
      <c r="I18" s="292">
        <v>273780</v>
      </c>
      <c r="J18" s="293">
        <v>17330</v>
      </c>
      <c r="K18" s="294">
        <v>0</v>
      </c>
      <c r="L18" s="294">
        <v>8</v>
      </c>
      <c r="M18" s="294">
        <v>0</v>
      </c>
      <c r="N18" s="292">
        <v>17338</v>
      </c>
      <c r="O18" s="294">
        <v>21158</v>
      </c>
      <c r="P18" s="294">
        <v>127</v>
      </c>
      <c r="Q18" s="294">
        <v>22</v>
      </c>
      <c r="R18" s="294">
        <v>0</v>
      </c>
      <c r="S18" s="292">
        <v>21307</v>
      </c>
      <c r="T18" s="293">
        <v>19149</v>
      </c>
      <c r="U18" s="294">
        <v>0</v>
      </c>
      <c r="V18" s="294">
        <v>244</v>
      </c>
      <c r="W18" s="294">
        <v>0</v>
      </c>
      <c r="X18" s="292">
        <v>19393</v>
      </c>
      <c r="Y18" s="293">
        <v>21544</v>
      </c>
      <c r="Z18" s="294">
        <v>13</v>
      </c>
      <c r="AA18" s="294">
        <v>39</v>
      </c>
      <c r="AB18" s="294">
        <v>0</v>
      </c>
      <c r="AC18" s="292">
        <v>21596</v>
      </c>
      <c r="AD18" s="293">
        <v>22178</v>
      </c>
      <c r="AE18" s="294">
        <v>104</v>
      </c>
      <c r="AF18" s="294">
        <v>265</v>
      </c>
      <c r="AG18" s="294">
        <v>0</v>
      </c>
      <c r="AH18" s="292">
        <v>22547</v>
      </c>
      <c r="AI18" s="293">
        <v>20797</v>
      </c>
      <c r="AJ18" s="294">
        <v>95</v>
      </c>
      <c r="AK18" s="294">
        <v>355</v>
      </c>
      <c r="AL18" s="294">
        <v>0</v>
      </c>
      <c r="AM18" s="292">
        <v>21247</v>
      </c>
      <c r="AN18" s="293">
        <v>23648</v>
      </c>
      <c r="AO18" s="294">
        <v>455</v>
      </c>
      <c r="AP18" s="294">
        <v>110</v>
      </c>
      <c r="AQ18" s="294">
        <v>0</v>
      </c>
      <c r="AR18" s="292">
        <v>24213</v>
      </c>
      <c r="AS18" s="293">
        <v>19325</v>
      </c>
      <c r="AT18" s="294">
        <v>247</v>
      </c>
      <c r="AU18" s="294">
        <v>2864</v>
      </c>
      <c r="AV18" s="294">
        <v>0</v>
      </c>
      <c r="AW18" s="292">
        <v>22436</v>
      </c>
      <c r="AX18" s="293">
        <v>20891</v>
      </c>
      <c r="AY18" s="294">
        <v>0</v>
      </c>
      <c r="AZ18" s="294">
        <v>70</v>
      </c>
      <c r="BA18" s="294">
        <v>0</v>
      </c>
      <c r="BB18" s="292">
        <v>20961</v>
      </c>
      <c r="BC18" s="293">
        <v>17556</v>
      </c>
      <c r="BD18" s="294">
        <v>581</v>
      </c>
      <c r="BE18" s="294">
        <v>29</v>
      </c>
      <c r="BF18" s="294">
        <v>0</v>
      </c>
      <c r="BG18" s="292">
        <v>18166</v>
      </c>
      <c r="BH18" s="293">
        <v>20880</v>
      </c>
      <c r="BI18" s="294">
        <v>0</v>
      </c>
      <c r="BJ18" s="294">
        <v>33</v>
      </c>
      <c r="BK18" s="294">
        <v>0</v>
      </c>
      <c r="BL18" s="292">
        <v>20913</v>
      </c>
      <c r="BM18" s="293">
        <v>30168</v>
      </c>
      <c r="BN18" s="294">
        <v>355</v>
      </c>
      <c r="BO18" s="294">
        <v>257</v>
      </c>
      <c r="BP18" s="294">
        <v>0</v>
      </c>
      <c r="BQ18" s="292">
        <v>30780</v>
      </c>
      <c r="BR18" s="293">
        <v>254624</v>
      </c>
      <c r="BS18" s="291">
        <v>1977</v>
      </c>
      <c r="BT18" s="294">
        <v>4296</v>
      </c>
      <c r="BU18" s="294">
        <v>0</v>
      </c>
      <c r="BV18" s="293">
        <v>260897</v>
      </c>
      <c r="BW18" s="299"/>
      <c r="BX18" s="296">
        <v>95.294396961063626</v>
      </c>
      <c r="BY18" s="263">
        <v>260897</v>
      </c>
      <c r="BZ18" s="264">
        <v>0</v>
      </c>
      <c r="CA18" s="297"/>
      <c r="CB18" s="245"/>
    </row>
    <row r="19" spans="1:80" ht="13.5" x14ac:dyDescent="0.25">
      <c r="A19" s="287">
        <v>13</v>
      </c>
      <c r="B19" s="262" t="s">
        <v>228</v>
      </c>
      <c r="D19" s="289"/>
      <c r="E19" s="290">
        <v>924895</v>
      </c>
      <c r="F19" s="291">
        <v>6788737</v>
      </c>
      <c r="G19" s="291">
        <v>10747</v>
      </c>
      <c r="H19" s="291">
        <v>0</v>
      </c>
      <c r="I19" s="292">
        <v>7724379</v>
      </c>
      <c r="J19" s="293">
        <v>53437</v>
      </c>
      <c r="K19" s="294">
        <v>1418670</v>
      </c>
      <c r="L19" s="294">
        <v>2</v>
      </c>
      <c r="M19" s="294">
        <v>0</v>
      </c>
      <c r="N19" s="292">
        <v>1472109</v>
      </c>
      <c r="O19" s="294">
        <v>44492</v>
      </c>
      <c r="P19" s="294">
        <v>138060</v>
      </c>
      <c r="Q19" s="294">
        <v>16</v>
      </c>
      <c r="R19" s="294"/>
      <c r="S19" s="292">
        <v>182568</v>
      </c>
      <c r="T19" s="293">
        <v>49357</v>
      </c>
      <c r="U19" s="294">
        <v>143523</v>
      </c>
      <c r="V19" s="294">
        <v>66</v>
      </c>
      <c r="W19" s="294"/>
      <c r="X19" s="292">
        <v>192946</v>
      </c>
      <c r="Y19" s="293">
        <v>52009</v>
      </c>
      <c r="Z19" s="294">
        <v>1101032</v>
      </c>
      <c r="AA19" s="294">
        <v>121</v>
      </c>
      <c r="AB19" s="294"/>
      <c r="AC19" s="292">
        <v>1153162</v>
      </c>
      <c r="AD19" s="293">
        <v>71641</v>
      </c>
      <c r="AE19" s="294">
        <v>304539</v>
      </c>
      <c r="AF19" s="294">
        <v>712</v>
      </c>
      <c r="AG19" s="294">
        <v>0</v>
      </c>
      <c r="AH19" s="292">
        <v>376892</v>
      </c>
      <c r="AI19" s="293">
        <v>60660</v>
      </c>
      <c r="AJ19" s="294">
        <v>203771</v>
      </c>
      <c r="AK19" s="294">
        <v>225</v>
      </c>
      <c r="AL19" s="294">
        <v>0</v>
      </c>
      <c r="AM19" s="292">
        <v>264656</v>
      </c>
      <c r="AN19" s="293">
        <v>56838</v>
      </c>
      <c r="AO19" s="294">
        <v>1307639</v>
      </c>
      <c r="AP19" s="294">
        <v>448</v>
      </c>
      <c r="AQ19" s="294">
        <v>0</v>
      </c>
      <c r="AR19" s="292">
        <v>1364925</v>
      </c>
      <c r="AS19" s="293">
        <v>59973</v>
      </c>
      <c r="AT19" s="294">
        <v>221375</v>
      </c>
      <c r="AU19" s="294">
        <v>-296</v>
      </c>
      <c r="AV19" s="294">
        <v>0</v>
      </c>
      <c r="AW19" s="292">
        <v>281052</v>
      </c>
      <c r="AX19" s="293">
        <v>63569</v>
      </c>
      <c r="AY19" s="294">
        <v>231114</v>
      </c>
      <c r="AZ19" s="294">
        <v>86</v>
      </c>
      <c r="BA19" s="294">
        <v>0</v>
      </c>
      <c r="BB19" s="292">
        <v>294769</v>
      </c>
      <c r="BC19" s="293">
        <v>45399</v>
      </c>
      <c r="BD19" s="294">
        <v>106613</v>
      </c>
      <c r="BE19" s="294">
        <v>13</v>
      </c>
      <c r="BF19" s="294"/>
      <c r="BG19" s="292">
        <v>152025</v>
      </c>
      <c r="BH19" s="293">
        <v>58646</v>
      </c>
      <c r="BI19" s="294">
        <v>1425480</v>
      </c>
      <c r="BJ19" s="294">
        <v>153</v>
      </c>
      <c r="BK19" s="294">
        <v>30</v>
      </c>
      <c r="BL19" s="292">
        <v>1484309</v>
      </c>
      <c r="BM19" s="293">
        <v>100971</v>
      </c>
      <c r="BN19" s="294">
        <v>205224</v>
      </c>
      <c r="BO19" s="294">
        <v>879</v>
      </c>
      <c r="BP19" s="294">
        <v>140</v>
      </c>
      <c r="BQ19" s="292">
        <v>307214</v>
      </c>
      <c r="BR19" s="293">
        <v>716992</v>
      </c>
      <c r="BS19" s="291">
        <v>6807040</v>
      </c>
      <c r="BT19" s="294">
        <v>2425</v>
      </c>
      <c r="BU19" s="294">
        <v>170</v>
      </c>
      <c r="BV19" s="293">
        <v>7526627</v>
      </c>
      <c r="BW19" s="299"/>
      <c r="BX19" s="296">
        <v>97.439897757476686</v>
      </c>
      <c r="BY19" s="263">
        <v>7526627</v>
      </c>
      <c r="BZ19" s="264">
        <v>0</v>
      </c>
      <c r="CA19" s="297"/>
      <c r="CB19" s="245"/>
    </row>
    <row r="20" spans="1:80" ht="13.5" x14ac:dyDescent="0.25">
      <c r="A20" s="287">
        <v>14</v>
      </c>
      <c r="B20" s="288" t="s">
        <v>229</v>
      </c>
      <c r="D20" s="298"/>
      <c r="E20" s="290">
        <v>2810535</v>
      </c>
      <c r="F20" s="291">
        <v>6490</v>
      </c>
      <c r="G20" s="291">
        <v>314548</v>
      </c>
      <c r="H20" s="291">
        <v>0</v>
      </c>
      <c r="I20" s="292">
        <v>3131573</v>
      </c>
      <c r="J20" s="293">
        <v>135367</v>
      </c>
      <c r="K20" s="294">
        <v>0</v>
      </c>
      <c r="L20" s="294">
        <v>21881</v>
      </c>
      <c r="M20" s="294">
        <v>0</v>
      </c>
      <c r="N20" s="292">
        <v>157248</v>
      </c>
      <c r="O20" s="294">
        <v>140643</v>
      </c>
      <c r="P20" s="294">
        <v>5487</v>
      </c>
      <c r="Q20" s="294">
        <v>21894</v>
      </c>
      <c r="R20" s="294">
        <v>0</v>
      </c>
      <c r="S20" s="292">
        <v>168024</v>
      </c>
      <c r="T20" s="293">
        <v>137614</v>
      </c>
      <c r="U20" s="294">
        <v>53</v>
      </c>
      <c r="V20" s="294">
        <v>24192</v>
      </c>
      <c r="W20" s="294">
        <v>0</v>
      </c>
      <c r="X20" s="292">
        <v>161859</v>
      </c>
      <c r="Y20" s="293">
        <v>155245</v>
      </c>
      <c r="Z20" s="294">
        <v>6</v>
      </c>
      <c r="AA20" s="294">
        <v>22088</v>
      </c>
      <c r="AB20" s="294">
        <v>0</v>
      </c>
      <c r="AC20" s="292">
        <v>177339</v>
      </c>
      <c r="AD20" s="293">
        <v>178565</v>
      </c>
      <c r="AE20" s="294">
        <v>752</v>
      </c>
      <c r="AF20" s="294">
        <v>25970</v>
      </c>
      <c r="AG20" s="294">
        <v>0</v>
      </c>
      <c r="AH20" s="292">
        <v>205287</v>
      </c>
      <c r="AI20" s="293">
        <v>208686</v>
      </c>
      <c r="AJ20" s="294">
        <v>111</v>
      </c>
      <c r="AK20" s="294">
        <v>24989</v>
      </c>
      <c r="AL20" s="294">
        <v>0</v>
      </c>
      <c r="AM20" s="292">
        <v>233786</v>
      </c>
      <c r="AN20" s="293">
        <v>142374</v>
      </c>
      <c r="AO20" s="294">
        <v>332</v>
      </c>
      <c r="AP20" s="294">
        <v>36851</v>
      </c>
      <c r="AQ20" s="294">
        <v>0</v>
      </c>
      <c r="AR20" s="292">
        <v>179557</v>
      </c>
      <c r="AS20" s="293">
        <v>166932</v>
      </c>
      <c r="AT20" s="294">
        <v>336</v>
      </c>
      <c r="AU20" s="294">
        <v>22607</v>
      </c>
      <c r="AV20" s="294">
        <v>0</v>
      </c>
      <c r="AW20" s="292">
        <v>189875</v>
      </c>
      <c r="AX20" s="293">
        <v>154379</v>
      </c>
      <c r="AY20" s="294">
        <v>367</v>
      </c>
      <c r="AZ20" s="294">
        <v>22067</v>
      </c>
      <c r="BA20" s="294">
        <v>0</v>
      </c>
      <c r="BB20" s="292">
        <v>176813</v>
      </c>
      <c r="BC20" s="293">
        <v>141133</v>
      </c>
      <c r="BD20" s="294">
        <v>483</v>
      </c>
      <c r="BE20" s="294">
        <v>25521</v>
      </c>
      <c r="BF20" s="294">
        <v>0</v>
      </c>
      <c r="BG20" s="292">
        <v>167137</v>
      </c>
      <c r="BH20" s="293">
        <v>156246</v>
      </c>
      <c r="BI20" s="294">
        <v>913</v>
      </c>
      <c r="BJ20" s="294">
        <v>24265</v>
      </c>
      <c r="BK20" s="294">
        <v>0</v>
      </c>
      <c r="BL20" s="292">
        <v>181424</v>
      </c>
      <c r="BM20" s="293">
        <v>651180</v>
      </c>
      <c r="BN20" s="294">
        <v>532</v>
      </c>
      <c r="BO20" s="294">
        <v>36148</v>
      </c>
      <c r="BP20" s="294">
        <v>3767</v>
      </c>
      <c r="BQ20" s="292">
        <v>691627</v>
      </c>
      <c r="BR20" s="293">
        <v>2368364</v>
      </c>
      <c r="BS20" s="291">
        <v>9372</v>
      </c>
      <c r="BT20" s="294">
        <v>308473</v>
      </c>
      <c r="BU20" s="294">
        <v>3767</v>
      </c>
      <c r="BV20" s="293">
        <v>2689976</v>
      </c>
      <c r="BW20" s="299"/>
      <c r="BX20" s="296">
        <v>85.898556412384451</v>
      </c>
      <c r="BY20" s="263">
        <v>2689976</v>
      </c>
      <c r="BZ20" s="264">
        <v>0</v>
      </c>
      <c r="CA20" s="297"/>
      <c r="CB20" s="245"/>
    </row>
    <row r="21" spans="1:80" ht="13.5" x14ac:dyDescent="0.25">
      <c r="A21" s="287">
        <v>15</v>
      </c>
      <c r="B21" s="288" t="s">
        <v>230</v>
      </c>
      <c r="D21" s="298"/>
      <c r="E21" s="290">
        <v>112772</v>
      </c>
      <c r="F21" s="291">
        <v>46058</v>
      </c>
      <c r="G21" s="291">
        <v>2855</v>
      </c>
      <c r="H21" s="291">
        <v>0</v>
      </c>
      <c r="I21" s="292">
        <v>161685</v>
      </c>
      <c r="J21" s="293">
        <v>7125</v>
      </c>
      <c r="K21" s="294">
        <v>11929</v>
      </c>
      <c r="L21" s="294">
        <v>63</v>
      </c>
      <c r="M21" s="294">
        <v>0</v>
      </c>
      <c r="N21" s="292">
        <v>19117</v>
      </c>
      <c r="O21" s="294">
        <v>6020</v>
      </c>
      <c r="P21" s="294">
        <v>9</v>
      </c>
      <c r="Q21" s="294">
        <v>51</v>
      </c>
      <c r="R21" s="294"/>
      <c r="S21" s="292">
        <v>6080</v>
      </c>
      <c r="T21" s="293">
        <v>5988</v>
      </c>
      <c r="U21" s="294">
        <v>0</v>
      </c>
      <c r="V21" s="294">
        <v>50</v>
      </c>
      <c r="W21" s="294">
        <v>0</v>
      </c>
      <c r="X21" s="292">
        <v>6038</v>
      </c>
      <c r="Y21" s="293">
        <v>6671</v>
      </c>
      <c r="Z21" s="294">
        <v>11912</v>
      </c>
      <c r="AA21" s="294">
        <v>62</v>
      </c>
      <c r="AB21" s="294"/>
      <c r="AC21" s="292">
        <v>18645</v>
      </c>
      <c r="AD21" s="293">
        <v>6661</v>
      </c>
      <c r="AE21" s="294">
        <v>0</v>
      </c>
      <c r="AF21" s="294">
        <v>49</v>
      </c>
      <c r="AG21" s="294">
        <v>0</v>
      </c>
      <c r="AH21" s="292">
        <v>6710</v>
      </c>
      <c r="AI21" s="293">
        <v>7707</v>
      </c>
      <c r="AJ21" s="294">
        <v>2</v>
      </c>
      <c r="AK21" s="294">
        <v>49</v>
      </c>
      <c r="AL21" s="294">
        <v>0</v>
      </c>
      <c r="AM21" s="292">
        <v>7758</v>
      </c>
      <c r="AN21" s="293">
        <v>7614</v>
      </c>
      <c r="AO21" s="294">
        <v>10</v>
      </c>
      <c r="AP21" s="294">
        <v>0</v>
      </c>
      <c r="AQ21" s="294">
        <v>0</v>
      </c>
      <c r="AR21" s="292">
        <v>7624</v>
      </c>
      <c r="AS21" s="293">
        <v>6786</v>
      </c>
      <c r="AT21" s="294">
        <v>11915</v>
      </c>
      <c r="AU21" s="294">
        <v>98</v>
      </c>
      <c r="AV21" s="294">
        <v>0</v>
      </c>
      <c r="AW21" s="292">
        <v>18799</v>
      </c>
      <c r="AX21" s="293">
        <v>7998</v>
      </c>
      <c r="AY21" s="294">
        <v>1087</v>
      </c>
      <c r="AZ21" s="294">
        <v>429</v>
      </c>
      <c r="BA21" s="294">
        <v>0</v>
      </c>
      <c r="BB21" s="292">
        <v>9514</v>
      </c>
      <c r="BC21" s="293">
        <v>7050</v>
      </c>
      <c r="BD21" s="294">
        <v>10300</v>
      </c>
      <c r="BE21" s="294">
        <v>54</v>
      </c>
      <c r="BF21" s="294"/>
      <c r="BG21" s="292">
        <v>17404</v>
      </c>
      <c r="BH21" s="293">
        <v>6320</v>
      </c>
      <c r="BI21" s="294">
        <v>0</v>
      </c>
      <c r="BJ21" s="294">
        <v>51</v>
      </c>
      <c r="BK21" s="294">
        <v>0</v>
      </c>
      <c r="BL21" s="292">
        <v>6371</v>
      </c>
      <c r="BM21" s="293">
        <v>12492</v>
      </c>
      <c r="BN21" s="294">
        <v>490</v>
      </c>
      <c r="BO21" s="294">
        <v>470</v>
      </c>
      <c r="BP21" s="294">
        <v>0</v>
      </c>
      <c r="BQ21" s="292">
        <v>13452</v>
      </c>
      <c r="BR21" s="293">
        <v>88432</v>
      </c>
      <c r="BS21" s="291">
        <v>47654</v>
      </c>
      <c r="BT21" s="294">
        <v>1426</v>
      </c>
      <c r="BU21" s="294">
        <v>0</v>
      </c>
      <c r="BV21" s="293">
        <v>137512</v>
      </c>
      <c r="BW21" s="299"/>
      <c r="BX21" s="296">
        <v>85.049324303429501</v>
      </c>
      <c r="BY21" s="263">
        <v>137512</v>
      </c>
      <c r="BZ21" s="264">
        <v>0</v>
      </c>
      <c r="CA21" s="297"/>
      <c r="CB21" s="245"/>
    </row>
    <row r="22" spans="1:80" ht="13.5" x14ac:dyDescent="0.25">
      <c r="A22" s="287">
        <v>16</v>
      </c>
      <c r="B22" s="288" t="s">
        <v>231</v>
      </c>
      <c r="D22" s="289"/>
      <c r="E22" s="290">
        <v>2347809</v>
      </c>
      <c r="F22" s="291">
        <v>18794943</v>
      </c>
      <c r="G22" s="291">
        <v>2252220</v>
      </c>
      <c r="H22" s="291">
        <v>0</v>
      </c>
      <c r="I22" s="292">
        <v>23394972</v>
      </c>
      <c r="J22" s="293">
        <v>57684</v>
      </c>
      <c r="K22" s="294">
        <v>3109719</v>
      </c>
      <c r="L22" s="294">
        <v>8522</v>
      </c>
      <c r="M22" s="294">
        <v>0</v>
      </c>
      <c r="N22" s="292">
        <v>3175925</v>
      </c>
      <c r="O22" s="294">
        <v>65633</v>
      </c>
      <c r="P22" s="294">
        <v>3568074</v>
      </c>
      <c r="Q22" s="294">
        <v>4480</v>
      </c>
      <c r="R22" s="294">
        <v>0</v>
      </c>
      <c r="S22" s="292">
        <v>3638187</v>
      </c>
      <c r="T22" s="293">
        <v>68020</v>
      </c>
      <c r="U22" s="294">
        <v>722524</v>
      </c>
      <c r="V22" s="294">
        <v>16584</v>
      </c>
      <c r="W22" s="294">
        <v>0</v>
      </c>
      <c r="X22" s="292">
        <v>807128</v>
      </c>
      <c r="Y22" s="293">
        <v>102392</v>
      </c>
      <c r="Z22" s="294">
        <v>1439251</v>
      </c>
      <c r="AA22" s="294">
        <v>2348</v>
      </c>
      <c r="AB22" s="294">
        <v>0</v>
      </c>
      <c r="AC22" s="292">
        <v>1543991</v>
      </c>
      <c r="AD22" s="293">
        <v>104252</v>
      </c>
      <c r="AE22" s="294">
        <v>2486319</v>
      </c>
      <c r="AF22" s="294">
        <v>16033</v>
      </c>
      <c r="AG22" s="294">
        <v>0</v>
      </c>
      <c r="AH22" s="292">
        <v>2606604</v>
      </c>
      <c r="AI22" s="293">
        <v>497990</v>
      </c>
      <c r="AJ22" s="294">
        <v>568575</v>
      </c>
      <c r="AK22" s="294">
        <v>12138</v>
      </c>
      <c r="AL22" s="294">
        <v>181</v>
      </c>
      <c r="AM22" s="292">
        <v>1078884</v>
      </c>
      <c r="AN22" s="293">
        <v>162767</v>
      </c>
      <c r="AO22" s="294">
        <v>1275278</v>
      </c>
      <c r="AP22" s="294">
        <v>324702</v>
      </c>
      <c r="AQ22" s="294">
        <v>1</v>
      </c>
      <c r="AR22" s="292">
        <v>1762748</v>
      </c>
      <c r="AS22" s="293">
        <v>190512</v>
      </c>
      <c r="AT22" s="294">
        <v>1992545</v>
      </c>
      <c r="AU22" s="294">
        <v>151348</v>
      </c>
      <c r="AV22" s="294">
        <v>211</v>
      </c>
      <c r="AW22" s="292">
        <v>2334616</v>
      </c>
      <c r="AX22" s="293">
        <v>656287</v>
      </c>
      <c r="AY22" s="294">
        <v>729858</v>
      </c>
      <c r="AZ22" s="294">
        <v>69042</v>
      </c>
      <c r="BA22" s="294">
        <v>9</v>
      </c>
      <c r="BB22" s="292">
        <v>1455196</v>
      </c>
      <c r="BC22" s="293">
        <v>67001</v>
      </c>
      <c r="BD22" s="294">
        <v>2753472</v>
      </c>
      <c r="BE22" s="294">
        <v>69735</v>
      </c>
      <c r="BF22" s="294">
        <v>0</v>
      </c>
      <c r="BG22" s="292">
        <v>2890208</v>
      </c>
      <c r="BH22" s="293">
        <v>201140</v>
      </c>
      <c r="BI22" s="294">
        <v>120576</v>
      </c>
      <c r="BJ22" s="294">
        <v>170552</v>
      </c>
      <c r="BK22" s="294">
        <v>0</v>
      </c>
      <c r="BL22" s="292">
        <v>492268</v>
      </c>
      <c r="BM22" s="293">
        <v>188068</v>
      </c>
      <c r="BN22" s="294">
        <v>651389</v>
      </c>
      <c r="BO22" s="294">
        <v>156889</v>
      </c>
      <c r="BP22" s="294">
        <v>422</v>
      </c>
      <c r="BQ22" s="292">
        <v>996768</v>
      </c>
      <c r="BR22" s="293">
        <v>2361746</v>
      </c>
      <c r="BS22" s="291">
        <v>19417580</v>
      </c>
      <c r="BT22" s="294">
        <v>1002373</v>
      </c>
      <c r="BU22" s="294">
        <v>824</v>
      </c>
      <c r="BV22" s="293">
        <v>22782523</v>
      </c>
      <c r="BW22" s="299"/>
      <c r="BX22" s="296">
        <v>97.38213407564669</v>
      </c>
      <c r="BY22" s="263">
        <v>22782523</v>
      </c>
      <c r="BZ22" s="264">
        <v>0</v>
      </c>
      <c r="CA22" s="297"/>
      <c r="CB22" s="245"/>
    </row>
    <row r="23" spans="1:80" ht="13.5" x14ac:dyDescent="0.25">
      <c r="A23" s="287">
        <v>17</v>
      </c>
      <c r="B23" s="288" t="s">
        <v>232</v>
      </c>
      <c r="D23" s="289"/>
      <c r="E23" s="290">
        <v>10079650</v>
      </c>
      <c r="F23" s="291">
        <v>83992019</v>
      </c>
      <c r="G23" s="291">
        <v>23275</v>
      </c>
      <c r="H23" s="291">
        <v>0</v>
      </c>
      <c r="I23" s="292">
        <v>94094944</v>
      </c>
      <c r="J23" s="293">
        <v>700086</v>
      </c>
      <c r="K23" s="294">
        <v>18750650</v>
      </c>
      <c r="L23" s="294">
        <v>12</v>
      </c>
      <c r="M23" s="294">
        <v>0</v>
      </c>
      <c r="N23" s="292">
        <v>19450748</v>
      </c>
      <c r="O23" s="294">
        <v>714467</v>
      </c>
      <c r="P23" s="294">
        <v>10026372</v>
      </c>
      <c r="Q23" s="294">
        <v>5494</v>
      </c>
      <c r="R23" s="294">
        <v>0</v>
      </c>
      <c r="S23" s="292">
        <v>10746333</v>
      </c>
      <c r="T23" s="293">
        <v>713268</v>
      </c>
      <c r="U23" s="294">
        <v>7889601</v>
      </c>
      <c r="V23" s="294">
        <v>685</v>
      </c>
      <c r="W23" s="294">
        <v>0</v>
      </c>
      <c r="X23" s="292">
        <v>8603554</v>
      </c>
      <c r="Y23" s="293">
        <v>732364</v>
      </c>
      <c r="Z23" s="294">
        <v>197468</v>
      </c>
      <c r="AA23" s="294">
        <v>1171</v>
      </c>
      <c r="AB23" s="294">
        <v>0</v>
      </c>
      <c r="AC23" s="292">
        <v>931003</v>
      </c>
      <c r="AD23" s="293">
        <v>739254</v>
      </c>
      <c r="AE23" s="294">
        <v>20754593</v>
      </c>
      <c r="AF23" s="294">
        <v>-3945</v>
      </c>
      <c r="AG23" s="294">
        <v>0</v>
      </c>
      <c r="AH23" s="292">
        <v>21489902</v>
      </c>
      <c r="AI23" s="293">
        <v>843420</v>
      </c>
      <c r="AJ23" s="294">
        <v>11829174</v>
      </c>
      <c r="AK23" s="294">
        <v>-551</v>
      </c>
      <c r="AL23" s="294">
        <v>2</v>
      </c>
      <c r="AM23" s="292">
        <v>12672045</v>
      </c>
      <c r="AN23" s="293">
        <v>723492</v>
      </c>
      <c r="AO23" s="294">
        <v>5551232</v>
      </c>
      <c r="AP23" s="294">
        <v>1021</v>
      </c>
      <c r="AQ23" s="294">
        <v>0</v>
      </c>
      <c r="AR23" s="292">
        <v>6275745</v>
      </c>
      <c r="AS23" s="293">
        <v>754890</v>
      </c>
      <c r="AT23" s="294">
        <v>5384260</v>
      </c>
      <c r="AU23" s="294">
        <v>529</v>
      </c>
      <c r="AV23" s="294">
        <v>0</v>
      </c>
      <c r="AW23" s="292">
        <v>6139679</v>
      </c>
      <c r="AX23" s="293">
        <v>882226</v>
      </c>
      <c r="AY23" s="294">
        <v>221355</v>
      </c>
      <c r="AZ23" s="294">
        <v>231</v>
      </c>
      <c r="BA23" s="294">
        <v>0</v>
      </c>
      <c r="BB23" s="292">
        <v>1103812</v>
      </c>
      <c r="BC23" s="293">
        <v>711134</v>
      </c>
      <c r="BD23" s="294">
        <v>1808230</v>
      </c>
      <c r="BE23" s="294">
        <v>190</v>
      </c>
      <c r="BF23" s="294">
        <v>0</v>
      </c>
      <c r="BG23" s="292">
        <v>2519554</v>
      </c>
      <c r="BH23" s="293">
        <v>843172</v>
      </c>
      <c r="BI23" s="294">
        <v>157262</v>
      </c>
      <c r="BJ23" s="294">
        <v>312</v>
      </c>
      <c r="BK23" s="294">
        <v>0</v>
      </c>
      <c r="BL23" s="292">
        <v>1000746</v>
      </c>
      <c r="BM23" s="293">
        <v>1261993</v>
      </c>
      <c r="BN23" s="294">
        <v>1495190</v>
      </c>
      <c r="BO23" s="294">
        <v>996</v>
      </c>
      <c r="BP23" s="294">
        <v>6179</v>
      </c>
      <c r="BQ23" s="292">
        <v>2764358</v>
      </c>
      <c r="BR23" s="293">
        <v>9619766</v>
      </c>
      <c r="BS23" s="291">
        <v>84065387</v>
      </c>
      <c r="BT23" s="294">
        <v>6145</v>
      </c>
      <c r="BU23" s="294">
        <v>6181</v>
      </c>
      <c r="BV23" s="293">
        <v>93697479</v>
      </c>
      <c r="BW23" s="299"/>
      <c r="BX23" s="296">
        <v>99.577591544132275</v>
      </c>
      <c r="BY23" s="263">
        <v>93697479</v>
      </c>
      <c r="BZ23" s="264">
        <v>0</v>
      </c>
      <c r="CA23" s="297"/>
      <c r="CB23" s="245"/>
    </row>
    <row r="24" spans="1:80" ht="13.5" x14ac:dyDescent="0.25">
      <c r="A24" s="287">
        <v>18</v>
      </c>
      <c r="B24" s="288" t="s">
        <v>233</v>
      </c>
      <c r="D24" s="300"/>
      <c r="E24" s="290">
        <v>3090429</v>
      </c>
      <c r="F24" s="291">
        <v>54166534</v>
      </c>
      <c r="G24" s="291">
        <v>795633</v>
      </c>
      <c r="H24" s="291">
        <v>0</v>
      </c>
      <c r="I24" s="292">
        <v>58052596</v>
      </c>
      <c r="J24" s="293">
        <v>160993</v>
      </c>
      <c r="K24" s="294">
        <v>5064136</v>
      </c>
      <c r="L24" s="294">
        <v>41738</v>
      </c>
      <c r="M24" s="294">
        <v>0</v>
      </c>
      <c r="N24" s="292">
        <v>5266867</v>
      </c>
      <c r="O24" s="294">
        <v>214485</v>
      </c>
      <c r="P24" s="294">
        <v>3604496</v>
      </c>
      <c r="Q24" s="294">
        <v>406945</v>
      </c>
      <c r="R24" s="294">
        <v>0</v>
      </c>
      <c r="S24" s="292">
        <v>4225926</v>
      </c>
      <c r="T24" s="293">
        <v>151588</v>
      </c>
      <c r="U24" s="294">
        <v>3760201</v>
      </c>
      <c r="V24" s="294">
        <v>-330458</v>
      </c>
      <c r="W24" s="294">
        <v>0</v>
      </c>
      <c r="X24" s="292">
        <v>3581331</v>
      </c>
      <c r="Y24" s="293">
        <v>253655</v>
      </c>
      <c r="Z24" s="294">
        <v>5610378</v>
      </c>
      <c r="AA24" s="294">
        <v>217497</v>
      </c>
      <c r="AB24" s="294">
        <v>0</v>
      </c>
      <c r="AC24" s="292">
        <v>6081530</v>
      </c>
      <c r="AD24" s="293">
        <v>161946</v>
      </c>
      <c r="AE24" s="294">
        <v>4026359</v>
      </c>
      <c r="AF24" s="294">
        <v>49127</v>
      </c>
      <c r="AG24" s="294">
        <v>0</v>
      </c>
      <c r="AH24" s="292">
        <v>4237432</v>
      </c>
      <c r="AI24" s="293">
        <v>199306</v>
      </c>
      <c r="AJ24" s="294">
        <v>3846099</v>
      </c>
      <c r="AK24" s="294">
        <v>14444</v>
      </c>
      <c r="AL24" s="294">
        <v>0</v>
      </c>
      <c r="AM24" s="292">
        <v>4059849</v>
      </c>
      <c r="AN24" s="293">
        <v>160032</v>
      </c>
      <c r="AO24" s="294">
        <v>5995795</v>
      </c>
      <c r="AP24" s="294">
        <v>38207</v>
      </c>
      <c r="AQ24" s="294">
        <v>0</v>
      </c>
      <c r="AR24" s="292">
        <v>6194034</v>
      </c>
      <c r="AS24" s="293">
        <v>273288</v>
      </c>
      <c r="AT24" s="294">
        <v>3960471</v>
      </c>
      <c r="AU24" s="294">
        <v>127610</v>
      </c>
      <c r="AV24" s="294">
        <v>0</v>
      </c>
      <c r="AW24" s="292">
        <v>4361369</v>
      </c>
      <c r="AX24" s="293">
        <v>140230</v>
      </c>
      <c r="AY24" s="294">
        <v>4081249</v>
      </c>
      <c r="AZ24" s="294">
        <v>65124</v>
      </c>
      <c r="BA24" s="294">
        <v>0</v>
      </c>
      <c r="BB24" s="292">
        <v>4286603</v>
      </c>
      <c r="BC24" s="293">
        <v>194221</v>
      </c>
      <c r="BD24" s="294">
        <v>6328023</v>
      </c>
      <c r="BE24" s="294">
        <v>5768</v>
      </c>
      <c r="BF24" s="294">
        <v>0</v>
      </c>
      <c r="BG24" s="292">
        <v>6528012</v>
      </c>
      <c r="BH24" s="293">
        <v>319940</v>
      </c>
      <c r="BI24" s="294">
        <v>3902628</v>
      </c>
      <c r="BJ24" s="294">
        <v>18493</v>
      </c>
      <c r="BK24" s="294">
        <v>0</v>
      </c>
      <c r="BL24" s="292">
        <v>4241061</v>
      </c>
      <c r="BM24" s="293">
        <v>774847</v>
      </c>
      <c r="BN24" s="294">
        <v>4224673</v>
      </c>
      <c r="BO24" s="294">
        <v>139960</v>
      </c>
      <c r="BP24" s="294">
        <v>0</v>
      </c>
      <c r="BQ24" s="292">
        <v>5139480</v>
      </c>
      <c r="BR24" s="293">
        <v>3004531</v>
      </c>
      <c r="BS24" s="291">
        <v>54404508</v>
      </c>
      <c r="BT24" s="294">
        <v>794455</v>
      </c>
      <c r="BU24" s="294">
        <v>0</v>
      </c>
      <c r="BV24" s="293">
        <v>58203494</v>
      </c>
      <c r="BW24" s="299"/>
      <c r="BX24" s="296">
        <v>100.25993325087477</v>
      </c>
      <c r="BY24" s="263">
        <v>58203494</v>
      </c>
      <c r="BZ24" s="264">
        <v>0</v>
      </c>
      <c r="CA24" s="297"/>
      <c r="CB24" s="245"/>
    </row>
    <row r="25" spans="1:80" ht="13.5" x14ac:dyDescent="0.25">
      <c r="A25" s="302">
        <v>19</v>
      </c>
      <c r="B25" s="303" t="s">
        <v>234</v>
      </c>
      <c r="D25" s="304" t="s">
        <v>88</v>
      </c>
      <c r="E25" s="290">
        <v>999530</v>
      </c>
      <c r="F25" s="291">
        <v>229795842</v>
      </c>
      <c r="G25" s="291">
        <v>11926</v>
      </c>
      <c r="H25" s="291">
        <v>0</v>
      </c>
      <c r="I25" s="292">
        <v>230807298</v>
      </c>
      <c r="J25" s="293">
        <v>43998</v>
      </c>
      <c r="K25" s="294">
        <v>855041</v>
      </c>
      <c r="L25" s="294">
        <v>0</v>
      </c>
      <c r="M25" s="294">
        <v>0</v>
      </c>
      <c r="N25" s="292">
        <v>899039</v>
      </c>
      <c r="O25" s="294">
        <v>60471</v>
      </c>
      <c r="P25" s="294">
        <v>21334558</v>
      </c>
      <c r="Q25" s="294">
        <v>85</v>
      </c>
      <c r="R25" s="294">
        <v>0</v>
      </c>
      <c r="S25" s="292">
        <v>21395114</v>
      </c>
      <c r="T25" s="293">
        <v>56813</v>
      </c>
      <c r="U25" s="294">
        <v>21174112</v>
      </c>
      <c r="V25" s="294">
        <v>627</v>
      </c>
      <c r="W25" s="294">
        <v>0</v>
      </c>
      <c r="X25" s="292">
        <v>21231552</v>
      </c>
      <c r="Y25" s="293">
        <v>61229</v>
      </c>
      <c r="Z25" s="294">
        <v>33784073</v>
      </c>
      <c r="AA25" s="294">
        <v>1609</v>
      </c>
      <c r="AB25" s="294">
        <v>0</v>
      </c>
      <c r="AC25" s="292">
        <v>33846911</v>
      </c>
      <c r="AD25" s="293">
        <v>56306</v>
      </c>
      <c r="AE25" s="294">
        <v>12761046</v>
      </c>
      <c r="AF25" s="294">
        <v>222</v>
      </c>
      <c r="AG25" s="294">
        <v>0</v>
      </c>
      <c r="AH25" s="292">
        <v>12817574</v>
      </c>
      <c r="AI25" s="293">
        <v>52085</v>
      </c>
      <c r="AJ25" s="294">
        <v>22290720</v>
      </c>
      <c r="AK25" s="294">
        <v>214</v>
      </c>
      <c r="AL25" s="294">
        <v>0</v>
      </c>
      <c r="AM25" s="292">
        <v>22343019</v>
      </c>
      <c r="AN25" s="293">
        <v>74574</v>
      </c>
      <c r="AO25" s="294">
        <v>26846364</v>
      </c>
      <c r="AP25" s="294">
        <v>3777</v>
      </c>
      <c r="AQ25" s="294">
        <v>0</v>
      </c>
      <c r="AR25" s="292">
        <v>26924715</v>
      </c>
      <c r="AS25" s="293">
        <v>65296</v>
      </c>
      <c r="AT25" s="294">
        <v>18551837</v>
      </c>
      <c r="AU25" s="294">
        <v>215</v>
      </c>
      <c r="AV25" s="294">
        <v>0</v>
      </c>
      <c r="AW25" s="292">
        <v>18617348</v>
      </c>
      <c r="AX25" s="293">
        <v>75099</v>
      </c>
      <c r="AY25" s="294">
        <v>18047499</v>
      </c>
      <c r="AZ25" s="294">
        <v>-219</v>
      </c>
      <c r="BA25" s="294">
        <v>0</v>
      </c>
      <c r="BB25" s="292">
        <v>18122379</v>
      </c>
      <c r="BC25" s="293">
        <v>63379</v>
      </c>
      <c r="BD25" s="294">
        <v>18508528</v>
      </c>
      <c r="BE25" s="294">
        <v>466</v>
      </c>
      <c r="BF25" s="294">
        <v>0</v>
      </c>
      <c r="BG25" s="292">
        <v>18572373</v>
      </c>
      <c r="BH25" s="293">
        <v>79963</v>
      </c>
      <c r="BI25" s="294">
        <v>14695889</v>
      </c>
      <c r="BJ25" s="294">
        <v>983</v>
      </c>
      <c r="BK25" s="294">
        <v>0</v>
      </c>
      <c r="BL25" s="292">
        <v>14776835</v>
      </c>
      <c r="BM25" s="293">
        <v>93195</v>
      </c>
      <c r="BN25" s="294">
        <v>21717372</v>
      </c>
      <c r="BO25" s="294">
        <v>986</v>
      </c>
      <c r="BP25" s="294">
        <v>0</v>
      </c>
      <c r="BQ25" s="292">
        <v>21811553</v>
      </c>
      <c r="BR25" s="293">
        <v>782408</v>
      </c>
      <c r="BS25" s="291">
        <v>230567039</v>
      </c>
      <c r="BT25" s="294">
        <v>8965</v>
      </c>
      <c r="BU25" s="294">
        <v>0</v>
      </c>
      <c r="BV25" s="293">
        <v>231358412</v>
      </c>
      <c r="BW25" s="299"/>
      <c r="BX25" s="296">
        <v>100.23877667854333</v>
      </c>
      <c r="BY25" s="263">
        <v>211743087</v>
      </c>
      <c r="BZ25" s="305">
        <v>19615325</v>
      </c>
      <c r="CA25" s="306"/>
      <c r="CB25" s="245"/>
    </row>
    <row r="26" spans="1:80" ht="13.5" x14ac:dyDescent="0.25">
      <c r="A26" s="302">
        <v>20</v>
      </c>
      <c r="B26" s="709" t="s">
        <v>235</v>
      </c>
      <c r="C26" s="709"/>
      <c r="D26" s="289"/>
      <c r="E26" s="290">
        <v>170642</v>
      </c>
      <c r="F26" s="291">
        <v>446653</v>
      </c>
      <c r="G26" s="291">
        <v>3681</v>
      </c>
      <c r="H26" s="291">
        <v>0</v>
      </c>
      <c r="I26" s="292">
        <v>620976</v>
      </c>
      <c r="J26" s="293">
        <v>11804</v>
      </c>
      <c r="K26" s="294">
        <v>7489</v>
      </c>
      <c r="L26" s="294">
        <v>2</v>
      </c>
      <c r="M26" s="294">
        <v>0</v>
      </c>
      <c r="N26" s="292">
        <v>19295</v>
      </c>
      <c r="O26" s="294">
        <v>10986</v>
      </c>
      <c r="P26" s="294">
        <v>127530</v>
      </c>
      <c r="Q26" s="294">
        <v>11</v>
      </c>
      <c r="R26" s="294"/>
      <c r="S26" s="292">
        <v>138527</v>
      </c>
      <c r="T26" s="293">
        <v>10312</v>
      </c>
      <c r="U26" s="294">
        <v>7489</v>
      </c>
      <c r="V26" s="294">
        <v>154</v>
      </c>
      <c r="W26" s="294">
        <v>0</v>
      </c>
      <c r="X26" s="292">
        <v>17955</v>
      </c>
      <c r="Y26" s="293">
        <v>9799</v>
      </c>
      <c r="Z26" s="294">
        <v>7601</v>
      </c>
      <c r="AA26" s="294">
        <v>22</v>
      </c>
      <c r="AB26" s="294"/>
      <c r="AC26" s="292">
        <v>17422</v>
      </c>
      <c r="AD26" s="293">
        <v>11235</v>
      </c>
      <c r="AE26" s="294">
        <v>127489</v>
      </c>
      <c r="AF26" s="294">
        <v>1210</v>
      </c>
      <c r="AG26" s="294">
        <v>0</v>
      </c>
      <c r="AH26" s="292">
        <v>139934</v>
      </c>
      <c r="AI26" s="293">
        <v>11159</v>
      </c>
      <c r="AJ26" s="294">
        <v>-7489</v>
      </c>
      <c r="AK26" s="294">
        <v>48</v>
      </c>
      <c r="AL26" s="294">
        <v>0</v>
      </c>
      <c r="AM26" s="292">
        <v>3718</v>
      </c>
      <c r="AN26" s="293">
        <v>12503</v>
      </c>
      <c r="AO26" s="294">
        <v>6371</v>
      </c>
      <c r="AP26" s="294">
        <v>11</v>
      </c>
      <c r="AQ26" s="294">
        <v>0</v>
      </c>
      <c r="AR26" s="292">
        <v>18885</v>
      </c>
      <c r="AS26" s="293">
        <v>16210</v>
      </c>
      <c r="AT26" s="294">
        <v>119093</v>
      </c>
      <c r="AU26" s="294">
        <v>183</v>
      </c>
      <c r="AV26" s="294">
        <v>0</v>
      </c>
      <c r="AW26" s="292">
        <v>135486</v>
      </c>
      <c r="AX26" s="293">
        <v>14570</v>
      </c>
      <c r="AY26" s="294">
        <v>6108</v>
      </c>
      <c r="AZ26" s="294">
        <v>7</v>
      </c>
      <c r="BA26" s="294">
        <v>0</v>
      </c>
      <c r="BB26" s="292">
        <v>20685</v>
      </c>
      <c r="BC26" s="293">
        <v>10405</v>
      </c>
      <c r="BD26" s="294">
        <v>6108</v>
      </c>
      <c r="BE26" s="294">
        <v>13</v>
      </c>
      <c r="BF26" s="294"/>
      <c r="BG26" s="292">
        <v>16526</v>
      </c>
      <c r="BH26" s="293">
        <v>11955</v>
      </c>
      <c r="BI26" s="294">
        <v>33400</v>
      </c>
      <c r="BJ26" s="294">
        <v>22</v>
      </c>
      <c r="BK26" s="294"/>
      <c r="BL26" s="292">
        <v>45377</v>
      </c>
      <c r="BM26" s="293">
        <v>22896</v>
      </c>
      <c r="BN26" s="294">
        <v>5629</v>
      </c>
      <c r="BO26" s="294">
        <v>357</v>
      </c>
      <c r="BP26" s="294">
        <v>0</v>
      </c>
      <c r="BQ26" s="292">
        <v>28882</v>
      </c>
      <c r="BR26" s="293">
        <v>153834</v>
      </c>
      <c r="BS26" s="291">
        <v>446818</v>
      </c>
      <c r="BT26" s="294">
        <v>2040</v>
      </c>
      <c r="BU26" s="294">
        <v>0</v>
      </c>
      <c r="BV26" s="293">
        <v>602692</v>
      </c>
      <c r="BW26" s="299"/>
      <c r="BX26" s="296">
        <v>97.055602793022601</v>
      </c>
      <c r="BY26" s="263">
        <v>602692</v>
      </c>
      <c r="BZ26" s="264">
        <v>0</v>
      </c>
      <c r="CA26" s="297"/>
      <c r="CB26" s="245"/>
    </row>
    <row r="27" spans="1:80" ht="13.5" x14ac:dyDescent="0.25">
      <c r="A27" s="302">
        <v>21</v>
      </c>
      <c r="B27" s="307" t="s">
        <v>236</v>
      </c>
      <c r="C27" s="307"/>
      <c r="D27" s="289"/>
      <c r="E27" s="290">
        <v>135009</v>
      </c>
      <c r="F27" s="291">
        <v>688</v>
      </c>
      <c r="G27" s="291">
        <v>1471</v>
      </c>
      <c r="H27" s="291">
        <v>0</v>
      </c>
      <c r="I27" s="292">
        <v>137168</v>
      </c>
      <c r="J27" s="293">
        <v>8666</v>
      </c>
      <c r="K27" s="294">
        <v>14</v>
      </c>
      <c r="L27" s="294">
        <v>0</v>
      </c>
      <c r="M27" s="294">
        <v>0</v>
      </c>
      <c r="N27" s="292">
        <v>8680</v>
      </c>
      <c r="O27" s="294">
        <v>9183</v>
      </c>
      <c r="P27" s="294">
        <v>292</v>
      </c>
      <c r="Q27" s="294">
        <v>14</v>
      </c>
      <c r="R27" s="294">
        <v>0</v>
      </c>
      <c r="S27" s="292">
        <v>9489</v>
      </c>
      <c r="T27" s="293">
        <v>8188</v>
      </c>
      <c r="U27" s="294">
        <v>171</v>
      </c>
      <c r="V27" s="294">
        <v>14</v>
      </c>
      <c r="W27" s="294">
        <v>0</v>
      </c>
      <c r="X27" s="292">
        <v>8373</v>
      </c>
      <c r="Y27" s="293">
        <v>9578</v>
      </c>
      <c r="Z27" s="294">
        <v>0</v>
      </c>
      <c r="AA27" s="294">
        <v>29</v>
      </c>
      <c r="AB27" s="294">
        <v>0</v>
      </c>
      <c r="AC27" s="292">
        <v>9607</v>
      </c>
      <c r="AD27" s="293">
        <v>8960</v>
      </c>
      <c r="AE27" s="294">
        <v>0</v>
      </c>
      <c r="AF27" s="294">
        <v>15</v>
      </c>
      <c r="AG27" s="294">
        <v>0</v>
      </c>
      <c r="AH27" s="292">
        <v>8975</v>
      </c>
      <c r="AI27" s="293">
        <v>8958</v>
      </c>
      <c r="AJ27" s="294">
        <v>0</v>
      </c>
      <c r="AK27" s="294">
        <v>24</v>
      </c>
      <c r="AL27" s="294">
        <v>0</v>
      </c>
      <c r="AM27" s="292">
        <v>8982</v>
      </c>
      <c r="AN27" s="293">
        <v>10083</v>
      </c>
      <c r="AO27" s="294">
        <v>19</v>
      </c>
      <c r="AP27" s="294">
        <v>14</v>
      </c>
      <c r="AQ27" s="294">
        <v>0</v>
      </c>
      <c r="AR27" s="292">
        <v>10116</v>
      </c>
      <c r="AS27" s="293">
        <v>13298</v>
      </c>
      <c r="AT27" s="294">
        <v>2</v>
      </c>
      <c r="AU27" s="294">
        <v>874</v>
      </c>
      <c r="AV27" s="294">
        <v>0</v>
      </c>
      <c r="AW27" s="292">
        <v>14174</v>
      </c>
      <c r="AX27" s="293">
        <v>10894</v>
      </c>
      <c r="AY27" s="294">
        <v>172</v>
      </c>
      <c r="AZ27" s="294">
        <v>14</v>
      </c>
      <c r="BA27" s="294">
        <v>0</v>
      </c>
      <c r="BB27" s="292">
        <v>11080</v>
      </c>
      <c r="BC27" s="293">
        <v>8886</v>
      </c>
      <c r="BD27" s="294"/>
      <c r="BE27" s="294">
        <v>22</v>
      </c>
      <c r="BF27" s="294"/>
      <c r="BG27" s="292">
        <v>8908</v>
      </c>
      <c r="BH27" s="293">
        <v>13092</v>
      </c>
      <c r="BI27" s="294">
        <v>0</v>
      </c>
      <c r="BJ27" s="294">
        <v>17</v>
      </c>
      <c r="BK27" s="294">
        <v>0</v>
      </c>
      <c r="BL27" s="292">
        <v>13109</v>
      </c>
      <c r="BM27" s="293">
        <v>15399</v>
      </c>
      <c r="BN27" s="294">
        <v>3</v>
      </c>
      <c r="BO27" s="294">
        <v>4581</v>
      </c>
      <c r="BP27" s="294">
        <v>66</v>
      </c>
      <c r="BQ27" s="292">
        <v>20049</v>
      </c>
      <c r="BR27" s="293">
        <v>125185</v>
      </c>
      <c r="BS27" s="291">
        <v>673</v>
      </c>
      <c r="BT27" s="294">
        <v>5618</v>
      </c>
      <c r="BU27" s="294">
        <v>66</v>
      </c>
      <c r="BV27" s="293">
        <v>131542</v>
      </c>
      <c r="BW27" s="299"/>
      <c r="BX27" s="296">
        <v>95.89846028228159</v>
      </c>
      <c r="BY27" s="263">
        <v>131542</v>
      </c>
      <c r="BZ27" s="264">
        <v>0</v>
      </c>
      <c r="CA27" s="297"/>
      <c r="CB27" s="245"/>
    </row>
    <row r="28" spans="1:80" ht="13.5" x14ac:dyDescent="0.25">
      <c r="A28" s="287">
        <v>22</v>
      </c>
      <c r="B28" s="288" t="s">
        <v>237</v>
      </c>
      <c r="D28" s="308"/>
      <c r="E28" s="290">
        <v>23835465</v>
      </c>
      <c r="F28" s="291">
        <v>1040581</v>
      </c>
      <c r="G28" s="291">
        <v>720791</v>
      </c>
      <c r="H28" s="291">
        <v>0</v>
      </c>
      <c r="I28" s="292">
        <v>25596837</v>
      </c>
      <c r="J28" s="293">
        <v>1623163</v>
      </c>
      <c r="K28" s="294">
        <v>12933</v>
      </c>
      <c r="L28" s="294">
        <v>778</v>
      </c>
      <c r="M28" s="294">
        <v>0</v>
      </c>
      <c r="N28" s="292">
        <v>1636874</v>
      </c>
      <c r="O28" s="294">
        <v>1869662</v>
      </c>
      <c r="P28" s="294">
        <v>53298</v>
      </c>
      <c r="Q28" s="294">
        <v>2364</v>
      </c>
      <c r="R28" s="294">
        <v>0</v>
      </c>
      <c r="S28" s="292">
        <v>1925324</v>
      </c>
      <c r="T28" s="293">
        <v>1900184</v>
      </c>
      <c r="U28" s="294">
        <v>67576</v>
      </c>
      <c r="V28" s="294">
        <v>53474</v>
      </c>
      <c r="W28" s="294">
        <v>0</v>
      </c>
      <c r="X28" s="292">
        <v>2021234</v>
      </c>
      <c r="Y28" s="293">
        <v>2047080</v>
      </c>
      <c r="Z28" s="294">
        <v>58734</v>
      </c>
      <c r="AA28" s="294">
        <v>15675</v>
      </c>
      <c r="AB28" s="294">
        <v>0</v>
      </c>
      <c r="AC28" s="292">
        <v>2121489</v>
      </c>
      <c r="AD28" s="293">
        <v>2048652</v>
      </c>
      <c r="AE28" s="294">
        <v>88791</v>
      </c>
      <c r="AF28" s="294">
        <v>10397</v>
      </c>
      <c r="AG28" s="294">
        <v>0</v>
      </c>
      <c r="AH28" s="292">
        <v>2147840</v>
      </c>
      <c r="AI28" s="293">
        <v>2122651</v>
      </c>
      <c r="AJ28" s="294">
        <v>90376</v>
      </c>
      <c r="AK28" s="294">
        <v>29586</v>
      </c>
      <c r="AL28" s="294">
        <v>0</v>
      </c>
      <c r="AM28" s="292">
        <v>2242613</v>
      </c>
      <c r="AN28" s="293">
        <v>2074895</v>
      </c>
      <c r="AO28" s="294">
        <v>70578</v>
      </c>
      <c r="AP28" s="294">
        <v>19778</v>
      </c>
      <c r="AQ28" s="294">
        <v>0</v>
      </c>
      <c r="AR28" s="292">
        <v>2165251</v>
      </c>
      <c r="AS28" s="293">
        <v>1961137</v>
      </c>
      <c r="AT28" s="294">
        <v>24713</v>
      </c>
      <c r="AU28" s="294">
        <v>11271</v>
      </c>
      <c r="AV28" s="294">
        <v>0</v>
      </c>
      <c r="AW28" s="292">
        <v>1997121</v>
      </c>
      <c r="AX28" s="293">
        <v>1922089</v>
      </c>
      <c r="AY28" s="294">
        <v>112641</v>
      </c>
      <c r="AZ28" s="294">
        <v>12920</v>
      </c>
      <c r="BA28" s="294">
        <v>0</v>
      </c>
      <c r="BB28" s="292">
        <v>2047650</v>
      </c>
      <c r="BC28" s="293">
        <v>1741195</v>
      </c>
      <c r="BD28" s="294">
        <v>18602</v>
      </c>
      <c r="BE28" s="294">
        <v>7813</v>
      </c>
      <c r="BF28" s="294">
        <v>0</v>
      </c>
      <c r="BG28" s="292">
        <v>1767610</v>
      </c>
      <c r="BH28" s="293">
        <v>2012492</v>
      </c>
      <c r="BI28" s="294">
        <v>151570</v>
      </c>
      <c r="BJ28" s="294">
        <v>63082</v>
      </c>
      <c r="BK28" s="294">
        <v>0</v>
      </c>
      <c r="BL28" s="292">
        <v>2227144</v>
      </c>
      <c r="BM28" s="293">
        <v>2524125</v>
      </c>
      <c r="BN28" s="294">
        <v>84051</v>
      </c>
      <c r="BO28" s="294">
        <v>113390</v>
      </c>
      <c r="BP28" s="294">
        <v>5504</v>
      </c>
      <c r="BQ28" s="292">
        <v>2727070</v>
      </c>
      <c r="BR28" s="293">
        <v>23847325</v>
      </c>
      <c r="BS28" s="291">
        <v>833863</v>
      </c>
      <c r="BT28" s="294">
        <v>340528</v>
      </c>
      <c r="BU28" s="294">
        <v>5504</v>
      </c>
      <c r="BV28" s="293">
        <v>25027220</v>
      </c>
      <c r="BW28" s="299"/>
      <c r="BX28" s="296">
        <v>97.774658642393987</v>
      </c>
      <c r="BY28" s="263">
        <v>25027220</v>
      </c>
      <c r="BZ28" s="264">
        <v>0</v>
      </c>
      <c r="CA28" s="297"/>
      <c r="CB28" s="245"/>
    </row>
    <row r="29" spans="1:80" ht="13.5" x14ac:dyDescent="0.25">
      <c r="A29" s="287">
        <v>23</v>
      </c>
      <c r="B29" s="288" t="s">
        <v>238</v>
      </c>
      <c r="D29" s="289"/>
      <c r="E29" s="290">
        <v>46146842</v>
      </c>
      <c r="F29" s="291">
        <v>6835869</v>
      </c>
      <c r="G29" s="291">
        <v>1218576</v>
      </c>
      <c r="H29" s="291">
        <v>0</v>
      </c>
      <c r="I29" s="292">
        <v>54201287</v>
      </c>
      <c r="J29" s="293">
        <v>2933087</v>
      </c>
      <c r="K29" s="294">
        <v>678492</v>
      </c>
      <c r="L29" s="294">
        <v>10249</v>
      </c>
      <c r="M29" s="294">
        <v>0</v>
      </c>
      <c r="N29" s="292">
        <v>3621828</v>
      </c>
      <c r="O29" s="294">
        <v>4068881</v>
      </c>
      <c r="P29" s="294">
        <v>495981</v>
      </c>
      <c r="Q29" s="294">
        <v>138137</v>
      </c>
      <c r="R29" s="294">
        <v>0</v>
      </c>
      <c r="S29" s="292">
        <v>4702999</v>
      </c>
      <c r="T29" s="293">
        <v>3355923</v>
      </c>
      <c r="U29" s="294">
        <v>426125</v>
      </c>
      <c r="V29" s="294">
        <v>74664</v>
      </c>
      <c r="W29" s="294">
        <v>0</v>
      </c>
      <c r="X29" s="292">
        <v>3856712</v>
      </c>
      <c r="Y29" s="293">
        <v>3594350</v>
      </c>
      <c r="Z29" s="294">
        <v>787951</v>
      </c>
      <c r="AA29" s="294">
        <v>15588</v>
      </c>
      <c r="AB29" s="294">
        <v>0</v>
      </c>
      <c r="AC29" s="292">
        <v>4397889</v>
      </c>
      <c r="AD29" s="293">
        <v>3890738</v>
      </c>
      <c r="AE29" s="294">
        <v>424547</v>
      </c>
      <c r="AF29" s="294">
        <v>194372</v>
      </c>
      <c r="AG29" s="294">
        <v>0</v>
      </c>
      <c r="AH29" s="292">
        <v>4509657</v>
      </c>
      <c r="AI29" s="293">
        <v>3794447</v>
      </c>
      <c r="AJ29" s="294">
        <v>402390</v>
      </c>
      <c r="AK29" s="294">
        <v>64987</v>
      </c>
      <c r="AL29" s="294">
        <v>0</v>
      </c>
      <c r="AM29" s="292">
        <v>4261824</v>
      </c>
      <c r="AN29" s="293">
        <v>4081025</v>
      </c>
      <c r="AO29" s="294">
        <v>763028</v>
      </c>
      <c r="AP29" s="294">
        <v>56314</v>
      </c>
      <c r="AQ29" s="294">
        <v>0</v>
      </c>
      <c r="AR29" s="292">
        <v>4900367</v>
      </c>
      <c r="AS29" s="293">
        <v>3472768</v>
      </c>
      <c r="AT29" s="294">
        <v>426151</v>
      </c>
      <c r="AU29" s="294">
        <v>40854</v>
      </c>
      <c r="AV29" s="294">
        <v>0</v>
      </c>
      <c r="AW29" s="292">
        <v>3939773</v>
      </c>
      <c r="AX29" s="293">
        <v>3438067</v>
      </c>
      <c r="AY29" s="294">
        <v>420481</v>
      </c>
      <c r="AZ29" s="294">
        <v>24866</v>
      </c>
      <c r="BA29" s="294">
        <v>0</v>
      </c>
      <c r="BB29" s="292">
        <v>3883414</v>
      </c>
      <c r="BC29" s="293">
        <v>3595147</v>
      </c>
      <c r="BD29" s="294">
        <v>712030</v>
      </c>
      <c r="BE29" s="294">
        <v>96614</v>
      </c>
      <c r="BF29" s="294">
        <v>0</v>
      </c>
      <c r="BG29" s="292">
        <v>4403791</v>
      </c>
      <c r="BH29" s="293">
        <v>3646271</v>
      </c>
      <c r="BI29" s="294">
        <v>667770</v>
      </c>
      <c r="BJ29" s="294">
        <v>28008</v>
      </c>
      <c r="BK29" s="294">
        <v>0</v>
      </c>
      <c r="BL29" s="292">
        <v>4342049</v>
      </c>
      <c r="BM29" s="293">
        <v>4577521</v>
      </c>
      <c r="BN29" s="294">
        <v>1503795</v>
      </c>
      <c r="BO29" s="294">
        <v>726238</v>
      </c>
      <c r="BP29" s="294">
        <v>0</v>
      </c>
      <c r="BQ29" s="292">
        <v>6807554</v>
      </c>
      <c r="BR29" s="293">
        <v>44448225</v>
      </c>
      <c r="BS29" s="291">
        <v>7708741</v>
      </c>
      <c r="BT29" s="294">
        <v>1470891</v>
      </c>
      <c r="BU29" s="294">
        <v>0</v>
      </c>
      <c r="BV29" s="293">
        <v>53627857</v>
      </c>
      <c r="BW29" s="299"/>
      <c r="BX29" s="296">
        <v>98.942036191871239</v>
      </c>
      <c r="BY29" s="263">
        <v>53627857</v>
      </c>
      <c r="BZ29" s="264">
        <v>0</v>
      </c>
      <c r="CA29" s="297"/>
      <c r="CB29" s="245"/>
    </row>
    <row r="30" spans="1:80" ht="13.5" x14ac:dyDescent="0.25">
      <c r="A30" s="287">
        <v>24</v>
      </c>
      <c r="B30" s="288" t="s">
        <v>239</v>
      </c>
      <c r="D30" s="309"/>
      <c r="E30" s="290">
        <v>334662</v>
      </c>
      <c r="F30" s="291">
        <v>820</v>
      </c>
      <c r="G30" s="291">
        <v>5494</v>
      </c>
      <c r="H30" s="291">
        <v>0</v>
      </c>
      <c r="I30" s="292">
        <v>340976</v>
      </c>
      <c r="J30" s="293">
        <v>58387</v>
      </c>
      <c r="K30" s="294">
        <v>0</v>
      </c>
      <c r="L30" s="294">
        <v>2856</v>
      </c>
      <c r="M30" s="294">
        <v>0</v>
      </c>
      <c r="N30" s="292">
        <v>61243</v>
      </c>
      <c r="O30" s="294">
        <v>23209</v>
      </c>
      <c r="P30" s="294">
        <v>54</v>
      </c>
      <c r="Q30" s="294">
        <v>0</v>
      </c>
      <c r="R30" s="294">
        <v>0</v>
      </c>
      <c r="S30" s="292">
        <v>23263</v>
      </c>
      <c r="T30" s="293">
        <v>22095</v>
      </c>
      <c r="U30" s="294">
        <v>36</v>
      </c>
      <c r="V30" s="294">
        <v>0</v>
      </c>
      <c r="W30" s="294">
        <v>0</v>
      </c>
      <c r="X30" s="292">
        <v>22131</v>
      </c>
      <c r="Y30" s="293">
        <v>21325</v>
      </c>
      <c r="Z30" s="294">
        <v>1</v>
      </c>
      <c r="AA30" s="294">
        <v>0</v>
      </c>
      <c r="AB30" s="294">
        <v>0</v>
      </c>
      <c r="AC30" s="292">
        <v>21326</v>
      </c>
      <c r="AD30" s="293">
        <v>21927</v>
      </c>
      <c r="AE30" s="294">
        <v>750</v>
      </c>
      <c r="AF30" s="294">
        <v>32</v>
      </c>
      <c r="AG30" s="294">
        <v>0</v>
      </c>
      <c r="AH30" s="292">
        <v>22709</v>
      </c>
      <c r="AI30" s="293">
        <v>22356</v>
      </c>
      <c r="AJ30" s="294">
        <v>0</v>
      </c>
      <c r="AK30" s="294">
        <v>321</v>
      </c>
      <c r="AL30" s="294">
        <v>0</v>
      </c>
      <c r="AM30" s="292">
        <v>22677</v>
      </c>
      <c r="AN30" s="293">
        <v>28649</v>
      </c>
      <c r="AO30" s="294">
        <v>51</v>
      </c>
      <c r="AP30" s="294">
        <v>8</v>
      </c>
      <c r="AQ30" s="294">
        <v>0</v>
      </c>
      <c r="AR30" s="292">
        <v>28708</v>
      </c>
      <c r="AS30" s="293">
        <v>34658</v>
      </c>
      <c r="AT30" s="294">
        <v>1</v>
      </c>
      <c r="AU30" s="294">
        <v>0</v>
      </c>
      <c r="AV30" s="294">
        <v>0</v>
      </c>
      <c r="AW30" s="292">
        <v>34659</v>
      </c>
      <c r="AX30" s="293">
        <v>25493</v>
      </c>
      <c r="AY30" s="294">
        <v>137</v>
      </c>
      <c r="AZ30" s="294">
        <v>-23</v>
      </c>
      <c r="BA30" s="294">
        <v>0</v>
      </c>
      <c r="BB30" s="292">
        <v>25607</v>
      </c>
      <c r="BC30" s="293">
        <v>20084</v>
      </c>
      <c r="BD30" s="294">
        <v>37</v>
      </c>
      <c r="BE30" s="294">
        <v>0</v>
      </c>
      <c r="BF30" s="294">
        <v>0</v>
      </c>
      <c r="BG30" s="292">
        <v>20121</v>
      </c>
      <c r="BH30" s="293">
        <v>23374</v>
      </c>
      <c r="BI30" s="294">
        <v>0</v>
      </c>
      <c r="BJ30" s="294">
        <v>0</v>
      </c>
      <c r="BK30" s="294">
        <v>0</v>
      </c>
      <c r="BL30" s="292">
        <v>23374</v>
      </c>
      <c r="BM30" s="293">
        <v>32276</v>
      </c>
      <c r="BN30" s="294">
        <v>451</v>
      </c>
      <c r="BO30" s="294">
        <v>2393</v>
      </c>
      <c r="BP30" s="294">
        <v>1</v>
      </c>
      <c r="BQ30" s="292">
        <v>35121</v>
      </c>
      <c r="BR30" s="293">
        <v>333833</v>
      </c>
      <c r="BS30" s="291">
        <v>1518</v>
      </c>
      <c r="BT30" s="294">
        <v>5587</v>
      </c>
      <c r="BU30" s="294">
        <v>1</v>
      </c>
      <c r="BV30" s="293">
        <v>340939</v>
      </c>
      <c r="BW30" s="299"/>
      <c r="BX30" s="296">
        <v>99.989148796396236</v>
      </c>
      <c r="BY30" s="263">
        <v>340939</v>
      </c>
      <c r="BZ30" s="264">
        <v>0</v>
      </c>
      <c r="CA30" s="297"/>
      <c r="CB30" s="245"/>
    </row>
    <row r="31" spans="1:80" ht="13.5" x14ac:dyDescent="0.25">
      <c r="A31" s="287">
        <v>25</v>
      </c>
      <c r="B31" s="288" t="s">
        <v>240</v>
      </c>
      <c r="D31" s="289"/>
      <c r="E31" s="290">
        <v>14842532</v>
      </c>
      <c r="F31" s="291">
        <v>2989640</v>
      </c>
      <c r="G31" s="291">
        <v>833523</v>
      </c>
      <c r="H31" s="291">
        <v>589</v>
      </c>
      <c r="I31" s="292">
        <v>18666284</v>
      </c>
      <c r="J31" s="293">
        <v>897125</v>
      </c>
      <c r="K31" s="294">
        <v>255458</v>
      </c>
      <c r="L31" s="294">
        <v>3066</v>
      </c>
      <c r="M31" s="294">
        <v>0</v>
      </c>
      <c r="N31" s="292">
        <v>1155649</v>
      </c>
      <c r="O31" s="294">
        <v>904840</v>
      </c>
      <c r="P31" s="294">
        <v>258171</v>
      </c>
      <c r="Q31" s="294">
        <v>162238</v>
      </c>
      <c r="R31" s="294">
        <v>294</v>
      </c>
      <c r="S31" s="292">
        <v>1325543</v>
      </c>
      <c r="T31" s="293">
        <v>898753</v>
      </c>
      <c r="U31" s="294">
        <v>258449</v>
      </c>
      <c r="V31" s="294">
        <v>11048</v>
      </c>
      <c r="W31" s="294">
        <v>0</v>
      </c>
      <c r="X31" s="292">
        <v>1168250</v>
      </c>
      <c r="Y31" s="293">
        <v>1036875</v>
      </c>
      <c r="Z31" s="294">
        <v>259193</v>
      </c>
      <c r="AA31" s="294">
        <v>23392</v>
      </c>
      <c r="AB31" s="294">
        <v>160</v>
      </c>
      <c r="AC31" s="292">
        <v>1319620</v>
      </c>
      <c r="AD31" s="293">
        <v>1105159</v>
      </c>
      <c r="AE31" s="294">
        <v>275831</v>
      </c>
      <c r="AF31" s="294">
        <v>17367</v>
      </c>
      <c r="AG31" s="294">
        <v>135</v>
      </c>
      <c r="AH31" s="292">
        <v>1398492</v>
      </c>
      <c r="AI31" s="293">
        <v>1089995</v>
      </c>
      <c r="AJ31" s="294">
        <v>258684</v>
      </c>
      <c r="AK31" s="294">
        <v>44576</v>
      </c>
      <c r="AL31" s="294">
        <v>22</v>
      </c>
      <c r="AM31" s="292">
        <v>1393277</v>
      </c>
      <c r="AN31" s="293">
        <v>1078416</v>
      </c>
      <c r="AO31" s="294">
        <v>259517</v>
      </c>
      <c r="AP31" s="294">
        <v>34788</v>
      </c>
      <c r="AQ31" s="294">
        <v>-19</v>
      </c>
      <c r="AR31" s="292">
        <v>1372702</v>
      </c>
      <c r="AS31" s="293">
        <v>1197347</v>
      </c>
      <c r="AT31" s="294">
        <v>262390</v>
      </c>
      <c r="AU31" s="294">
        <v>38570</v>
      </c>
      <c r="AV31" s="294">
        <v>0</v>
      </c>
      <c r="AW31" s="292">
        <v>1498307</v>
      </c>
      <c r="AX31" s="293">
        <v>1295748</v>
      </c>
      <c r="AY31" s="294">
        <v>276546</v>
      </c>
      <c r="AZ31" s="294">
        <v>26415</v>
      </c>
      <c r="BA31" s="294">
        <v>58</v>
      </c>
      <c r="BB31" s="292">
        <v>1598767</v>
      </c>
      <c r="BC31" s="293">
        <v>894233</v>
      </c>
      <c r="BD31" s="294">
        <v>264840</v>
      </c>
      <c r="BE31" s="294">
        <v>15674</v>
      </c>
      <c r="BF31" s="294">
        <v>0</v>
      </c>
      <c r="BG31" s="292">
        <v>1174747</v>
      </c>
      <c r="BH31" s="293">
        <v>1052941</v>
      </c>
      <c r="BI31" s="294">
        <v>198442</v>
      </c>
      <c r="BJ31" s="294">
        <v>71073</v>
      </c>
      <c r="BK31" s="294">
        <v>1341</v>
      </c>
      <c r="BL31" s="292">
        <v>1323797</v>
      </c>
      <c r="BM31" s="293">
        <v>2593801</v>
      </c>
      <c r="BN31" s="294">
        <v>206765</v>
      </c>
      <c r="BO31" s="294">
        <v>187510</v>
      </c>
      <c r="BP31" s="294">
        <v>11580</v>
      </c>
      <c r="BQ31" s="292">
        <v>2999656</v>
      </c>
      <c r="BR31" s="293">
        <v>14045233</v>
      </c>
      <c r="BS31" s="291">
        <v>3034286</v>
      </c>
      <c r="BT31" s="294">
        <v>635717</v>
      </c>
      <c r="BU31" s="294">
        <v>13571</v>
      </c>
      <c r="BV31" s="293">
        <v>17728807</v>
      </c>
      <c r="BW31" s="299"/>
      <c r="BX31" s="296">
        <v>94.977698828540269</v>
      </c>
      <c r="BY31" s="263">
        <v>17728807</v>
      </c>
      <c r="BZ31" s="264">
        <v>0</v>
      </c>
      <c r="CA31" s="297"/>
      <c r="CB31" s="245"/>
    </row>
    <row r="32" spans="1:80" ht="13.5" x14ac:dyDescent="0.25">
      <c r="A32" s="287">
        <v>26</v>
      </c>
      <c r="B32" s="288" t="s">
        <v>241</v>
      </c>
      <c r="D32" s="289"/>
      <c r="E32" s="290">
        <v>335889</v>
      </c>
      <c r="F32" s="291">
        <v>126653</v>
      </c>
      <c r="G32" s="291">
        <v>17800</v>
      </c>
      <c r="H32" s="291">
        <v>0</v>
      </c>
      <c r="I32" s="292">
        <v>480342</v>
      </c>
      <c r="J32" s="293">
        <v>11573</v>
      </c>
      <c r="K32" s="294">
        <v>1526</v>
      </c>
      <c r="L32" s="294">
        <v>39</v>
      </c>
      <c r="M32" s="294">
        <v>0</v>
      </c>
      <c r="N32" s="292">
        <v>13138</v>
      </c>
      <c r="O32" s="294">
        <v>11588</v>
      </c>
      <c r="P32" s="294">
        <v>1414</v>
      </c>
      <c r="Q32" s="294">
        <v>0</v>
      </c>
      <c r="R32" s="294">
        <v>0</v>
      </c>
      <c r="S32" s="292">
        <v>13002</v>
      </c>
      <c r="T32" s="293">
        <v>14811</v>
      </c>
      <c r="U32" s="294">
        <v>3519</v>
      </c>
      <c r="V32" s="294">
        <v>87</v>
      </c>
      <c r="W32" s="294">
        <v>0</v>
      </c>
      <c r="X32" s="292">
        <v>18417</v>
      </c>
      <c r="Y32" s="293">
        <v>16800</v>
      </c>
      <c r="Z32" s="294">
        <v>6209</v>
      </c>
      <c r="AA32" s="294">
        <v>137</v>
      </c>
      <c r="AB32" s="294"/>
      <c r="AC32" s="292">
        <v>23146</v>
      </c>
      <c r="AD32" s="293">
        <v>14775</v>
      </c>
      <c r="AE32" s="294">
        <v>5257</v>
      </c>
      <c r="AF32" s="294">
        <v>527</v>
      </c>
      <c r="AG32" s="294">
        <v>0</v>
      </c>
      <c r="AH32" s="292">
        <v>20559</v>
      </c>
      <c r="AI32" s="293">
        <v>25679</v>
      </c>
      <c r="AJ32" s="294">
        <v>8677</v>
      </c>
      <c r="AK32" s="294">
        <v>349</v>
      </c>
      <c r="AL32" s="294">
        <v>0</v>
      </c>
      <c r="AM32" s="292">
        <v>34705</v>
      </c>
      <c r="AN32" s="293">
        <v>36042</v>
      </c>
      <c r="AO32" s="294">
        <v>9047</v>
      </c>
      <c r="AP32" s="294">
        <v>-87</v>
      </c>
      <c r="AQ32" s="294">
        <v>0</v>
      </c>
      <c r="AR32" s="292">
        <v>45002</v>
      </c>
      <c r="AS32" s="293">
        <v>16993</v>
      </c>
      <c r="AT32" s="294">
        <v>9300</v>
      </c>
      <c r="AU32" s="294">
        <v>87</v>
      </c>
      <c r="AV32" s="294">
        <v>0</v>
      </c>
      <c r="AW32" s="292">
        <v>26380</v>
      </c>
      <c r="AX32" s="293">
        <v>36387</v>
      </c>
      <c r="AY32" s="294">
        <v>6746</v>
      </c>
      <c r="AZ32" s="294">
        <v>57</v>
      </c>
      <c r="BA32" s="294">
        <v>0</v>
      </c>
      <c r="BB32" s="292">
        <v>43190</v>
      </c>
      <c r="BC32" s="293">
        <v>18618</v>
      </c>
      <c r="BD32" s="294">
        <v>4986</v>
      </c>
      <c r="BE32" s="294">
        <v>-148</v>
      </c>
      <c r="BF32" s="294"/>
      <c r="BG32" s="292">
        <v>23456</v>
      </c>
      <c r="BH32" s="293">
        <v>27641</v>
      </c>
      <c r="BI32" s="294">
        <v>5642</v>
      </c>
      <c r="BJ32" s="294">
        <v>231</v>
      </c>
      <c r="BK32" s="294"/>
      <c r="BL32" s="292">
        <v>33514</v>
      </c>
      <c r="BM32" s="293">
        <v>81200</v>
      </c>
      <c r="BN32" s="294">
        <v>49015</v>
      </c>
      <c r="BO32" s="294">
        <v>82</v>
      </c>
      <c r="BP32" s="294">
        <v>0</v>
      </c>
      <c r="BQ32" s="292">
        <v>130297</v>
      </c>
      <c r="BR32" s="293">
        <v>312107</v>
      </c>
      <c r="BS32" s="291">
        <v>111338</v>
      </c>
      <c r="BT32" s="294">
        <v>1361</v>
      </c>
      <c r="BU32" s="294">
        <v>0</v>
      </c>
      <c r="BV32" s="293">
        <v>424806</v>
      </c>
      <c r="BW32" s="299"/>
      <c r="BX32" s="296">
        <v>88.438237755599133</v>
      </c>
      <c r="BY32" s="263">
        <v>424806</v>
      </c>
      <c r="BZ32" s="264">
        <v>0</v>
      </c>
      <c r="CA32" s="297"/>
      <c r="CB32" s="245"/>
    </row>
    <row r="33" spans="1:80" ht="13.5" x14ac:dyDescent="0.25">
      <c r="A33" s="287">
        <v>27</v>
      </c>
      <c r="B33" s="262" t="s">
        <v>242</v>
      </c>
      <c r="D33" s="289"/>
      <c r="E33" s="290">
        <v>1076504</v>
      </c>
      <c r="F33" s="291">
        <v>1416</v>
      </c>
      <c r="G33" s="291">
        <v>110201</v>
      </c>
      <c r="H33" s="291">
        <v>0</v>
      </c>
      <c r="I33" s="292">
        <v>1188121</v>
      </c>
      <c r="J33" s="293">
        <v>68062</v>
      </c>
      <c r="K33" s="294">
        <v>2</v>
      </c>
      <c r="L33" s="294">
        <v>1098</v>
      </c>
      <c r="M33" s="294">
        <v>0</v>
      </c>
      <c r="N33" s="292">
        <v>69162</v>
      </c>
      <c r="O33" s="294">
        <v>66302</v>
      </c>
      <c r="P33" s="294">
        <v>86</v>
      </c>
      <c r="Q33" s="294">
        <v>4854</v>
      </c>
      <c r="R33" s="294">
        <v>0</v>
      </c>
      <c r="S33" s="292">
        <v>71242</v>
      </c>
      <c r="T33" s="293">
        <v>72926</v>
      </c>
      <c r="U33" s="294">
        <v>34</v>
      </c>
      <c r="V33" s="294">
        <v>4497</v>
      </c>
      <c r="W33" s="294">
        <v>0</v>
      </c>
      <c r="X33" s="292">
        <v>77457</v>
      </c>
      <c r="Y33" s="293">
        <v>74721</v>
      </c>
      <c r="Z33" s="294">
        <v>95</v>
      </c>
      <c r="AA33" s="294">
        <v>6365</v>
      </c>
      <c r="AB33" s="294">
        <v>0</v>
      </c>
      <c r="AC33" s="292">
        <v>81181</v>
      </c>
      <c r="AD33" s="293">
        <v>74064</v>
      </c>
      <c r="AE33" s="294">
        <v>175</v>
      </c>
      <c r="AF33" s="294">
        <v>10873</v>
      </c>
      <c r="AG33" s="294">
        <v>0</v>
      </c>
      <c r="AH33" s="292">
        <v>85112</v>
      </c>
      <c r="AI33" s="293">
        <v>73247</v>
      </c>
      <c r="AJ33" s="294">
        <v>57</v>
      </c>
      <c r="AK33" s="294">
        <v>3347</v>
      </c>
      <c r="AL33" s="294">
        <v>0</v>
      </c>
      <c r="AM33" s="292">
        <v>76651</v>
      </c>
      <c r="AN33" s="293">
        <v>97757</v>
      </c>
      <c r="AO33" s="294">
        <v>236</v>
      </c>
      <c r="AP33" s="294">
        <v>17771</v>
      </c>
      <c r="AQ33" s="294">
        <v>0</v>
      </c>
      <c r="AR33" s="292">
        <v>115764</v>
      </c>
      <c r="AS33" s="293">
        <v>74695</v>
      </c>
      <c r="AT33" s="294">
        <v>505</v>
      </c>
      <c r="AU33" s="294">
        <v>5766</v>
      </c>
      <c r="AV33" s="294">
        <v>0</v>
      </c>
      <c r="AW33" s="292">
        <v>80966</v>
      </c>
      <c r="AX33" s="293">
        <v>83444</v>
      </c>
      <c r="AY33" s="294">
        <v>915</v>
      </c>
      <c r="AZ33" s="294">
        <v>7824</v>
      </c>
      <c r="BA33" s="294">
        <v>0</v>
      </c>
      <c r="BB33" s="292">
        <v>92183</v>
      </c>
      <c r="BC33" s="293">
        <v>71084</v>
      </c>
      <c r="BD33" s="294">
        <v>482</v>
      </c>
      <c r="BE33" s="294">
        <v>6441</v>
      </c>
      <c r="BF33" s="294">
        <v>0</v>
      </c>
      <c r="BG33" s="292">
        <v>78007</v>
      </c>
      <c r="BH33" s="293">
        <v>78592</v>
      </c>
      <c r="BI33" s="294">
        <v>335</v>
      </c>
      <c r="BJ33" s="294">
        <v>19697</v>
      </c>
      <c r="BK33" s="294">
        <v>0</v>
      </c>
      <c r="BL33" s="292">
        <v>98624</v>
      </c>
      <c r="BM33" s="293">
        <v>135802</v>
      </c>
      <c r="BN33" s="294">
        <v>613</v>
      </c>
      <c r="BO33" s="294">
        <v>9164</v>
      </c>
      <c r="BP33" s="294">
        <v>97</v>
      </c>
      <c r="BQ33" s="292">
        <v>145676</v>
      </c>
      <c r="BR33" s="293">
        <v>970696</v>
      </c>
      <c r="BS33" s="291">
        <v>3535</v>
      </c>
      <c r="BT33" s="294">
        <v>97697</v>
      </c>
      <c r="BU33" s="294">
        <v>97</v>
      </c>
      <c r="BV33" s="293">
        <v>1072025</v>
      </c>
      <c r="BW33" s="299"/>
      <c r="BX33" s="296">
        <v>90.228604662319739</v>
      </c>
      <c r="BY33" s="263">
        <v>1072025</v>
      </c>
      <c r="BZ33" s="264">
        <v>0</v>
      </c>
      <c r="CA33" s="297"/>
      <c r="CB33" s="245"/>
    </row>
    <row r="34" spans="1:80" ht="13.5" x14ac:dyDescent="0.25">
      <c r="A34" s="302">
        <v>28</v>
      </c>
      <c r="B34" s="303" t="s">
        <v>243</v>
      </c>
      <c r="D34" s="310"/>
      <c r="E34" s="290">
        <v>95366408</v>
      </c>
      <c r="F34" s="291">
        <v>1613719</v>
      </c>
      <c r="G34" s="291">
        <v>2580767</v>
      </c>
      <c r="H34" s="291">
        <v>0</v>
      </c>
      <c r="I34" s="292">
        <v>99560894</v>
      </c>
      <c r="J34" s="293">
        <v>8006135</v>
      </c>
      <c r="K34" s="294">
        <v>105447</v>
      </c>
      <c r="L34" s="294">
        <v>68895</v>
      </c>
      <c r="M34" s="294">
        <v>4803</v>
      </c>
      <c r="N34" s="292">
        <v>8185280</v>
      </c>
      <c r="O34" s="294">
        <v>7807331</v>
      </c>
      <c r="P34" s="294">
        <v>276535</v>
      </c>
      <c r="Q34" s="294">
        <v>32605</v>
      </c>
      <c r="R34" s="294">
        <v>3575</v>
      </c>
      <c r="S34" s="292">
        <v>8120046</v>
      </c>
      <c r="T34" s="293">
        <v>7592601</v>
      </c>
      <c r="U34" s="294">
        <v>30673</v>
      </c>
      <c r="V34" s="294">
        <v>24695</v>
      </c>
      <c r="W34" s="294">
        <v>530</v>
      </c>
      <c r="X34" s="292">
        <v>7648499</v>
      </c>
      <c r="Y34" s="293">
        <v>7395413</v>
      </c>
      <c r="Z34" s="294">
        <v>121985</v>
      </c>
      <c r="AA34" s="294">
        <v>42118</v>
      </c>
      <c r="AB34" s="294">
        <v>170</v>
      </c>
      <c r="AC34" s="292">
        <v>7559686</v>
      </c>
      <c r="AD34" s="293">
        <v>6881194</v>
      </c>
      <c r="AE34" s="294">
        <v>115713</v>
      </c>
      <c r="AF34" s="294">
        <v>142040</v>
      </c>
      <c r="AG34" s="294">
        <v>1686</v>
      </c>
      <c r="AH34" s="292">
        <v>7140633</v>
      </c>
      <c r="AI34" s="293">
        <v>7310264</v>
      </c>
      <c r="AJ34" s="294">
        <v>128067</v>
      </c>
      <c r="AK34" s="294">
        <v>293775</v>
      </c>
      <c r="AL34" s="294">
        <v>2698</v>
      </c>
      <c r="AM34" s="292">
        <v>7734804</v>
      </c>
      <c r="AN34" s="293">
        <v>7842543</v>
      </c>
      <c r="AO34" s="294">
        <v>91627</v>
      </c>
      <c r="AP34" s="294">
        <v>409366</v>
      </c>
      <c r="AQ34" s="294">
        <v>1860</v>
      </c>
      <c r="AR34" s="292">
        <v>8345396</v>
      </c>
      <c r="AS34" s="293">
        <v>7785828</v>
      </c>
      <c r="AT34" s="294">
        <v>141307</v>
      </c>
      <c r="AU34" s="294">
        <v>347818</v>
      </c>
      <c r="AV34" s="294">
        <v>10175</v>
      </c>
      <c r="AW34" s="292">
        <v>8285128</v>
      </c>
      <c r="AX34" s="293">
        <v>7201306</v>
      </c>
      <c r="AY34" s="294">
        <v>68411</v>
      </c>
      <c r="AZ34" s="294">
        <v>177375</v>
      </c>
      <c r="BA34" s="294">
        <v>296</v>
      </c>
      <c r="BB34" s="292">
        <v>7447388</v>
      </c>
      <c r="BC34" s="293">
        <v>7533142</v>
      </c>
      <c r="BD34" s="294">
        <v>190935</v>
      </c>
      <c r="BE34" s="294">
        <v>160840</v>
      </c>
      <c r="BF34" s="294">
        <v>1190</v>
      </c>
      <c r="BG34" s="292">
        <v>7886107</v>
      </c>
      <c r="BH34" s="293">
        <v>7566219</v>
      </c>
      <c r="BI34" s="294">
        <v>127150</v>
      </c>
      <c r="BJ34" s="294">
        <v>212424</v>
      </c>
      <c r="BK34" s="294">
        <v>13064</v>
      </c>
      <c r="BL34" s="292">
        <v>7918857</v>
      </c>
      <c r="BM34" s="293">
        <v>8260743</v>
      </c>
      <c r="BN34" s="294">
        <v>198098</v>
      </c>
      <c r="BO34" s="294">
        <v>745808</v>
      </c>
      <c r="BP34" s="294">
        <v>6670</v>
      </c>
      <c r="BQ34" s="292">
        <v>9211319</v>
      </c>
      <c r="BR34" s="293">
        <v>91182719</v>
      </c>
      <c r="BS34" s="291">
        <v>1595948</v>
      </c>
      <c r="BT34" s="294">
        <v>2657759</v>
      </c>
      <c r="BU34" s="294">
        <v>46717</v>
      </c>
      <c r="BV34" s="293">
        <v>95483143</v>
      </c>
      <c r="BW34" s="299"/>
      <c r="BX34" s="296">
        <v>95.904264379144692</v>
      </c>
      <c r="BY34" s="263">
        <v>96009602</v>
      </c>
      <c r="BZ34" s="305">
        <v>-526459</v>
      </c>
      <c r="CA34" s="306"/>
      <c r="CB34" s="245"/>
    </row>
    <row r="35" spans="1:80" ht="13.5" x14ac:dyDescent="0.25">
      <c r="A35" s="287">
        <v>29</v>
      </c>
      <c r="B35" s="288" t="s">
        <v>244</v>
      </c>
      <c r="D35" s="289"/>
      <c r="E35" s="290">
        <v>7816104</v>
      </c>
      <c r="F35" s="291">
        <v>6738730</v>
      </c>
      <c r="G35" s="291">
        <v>692779</v>
      </c>
      <c r="H35" s="291">
        <v>0</v>
      </c>
      <c r="I35" s="292">
        <v>15247613</v>
      </c>
      <c r="J35" s="293">
        <v>337160</v>
      </c>
      <c r="K35" s="294">
        <v>323418</v>
      </c>
      <c r="L35" s="294">
        <v>1444</v>
      </c>
      <c r="M35" s="294">
        <v>0</v>
      </c>
      <c r="N35" s="292">
        <v>662022</v>
      </c>
      <c r="O35" s="294">
        <v>410703</v>
      </c>
      <c r="P35" s="294">
        <v>151301</v>
      </c>
      <c r="Q35" s="294">
        <v>9596</v>
      </c>
      <c r="R35" s="294">
        <v>0</v>
      </c>
      <c r="S35" s="292">
        <v>571600</v>
      </c>
      <c r="T35" s="293">
        <v>487250</v>
      </c>
      <c r="U35" s="294">
        <v>503816</v>
      </c>
      <c r="V35" s="294">
        <v>33663</v>
      </c>
      <c r="W35" s="294">
        <v>0</v>
      </c>
      <c r="X35" s="293">
        <v>1024729</v>
      </c>
      <c r="Y35" s="293">
        <v>389973</v>
      </c>
      <c r="Z35" s="294">
        <v>369974</v>
      </c>
      <c r="AA35" s="294">
        <v>33214</v>
      </c>
      <c r="AB35" s="294">
        <v>0</v>
      </c>
      <c r="AC35" s="292">
        <v>793161</v>
      </c>
      <c r="AD35" s="293">
        <v>550167</v>
      </c>
      <c r="AE35" s="294">
        <v>575937</v>
      </c>
      <c r="AF35" s="294">
        <v>44273</v>
      </c>
      <c r="AG35" s="294">
        <v>0</v>
      </c>
      <c r="AH35" s="292">
        <v>1170377</v>
      </c>
      <c r="AI35" s="293">
        <v>470760</v>
      </c>
      <c r="AJ35" s="294">
        <v>1123085</v>
      </c>
      <c r="AK35" s="294">
        <v>36736</v>
      </c>
      <c r="AL35" s="294">
        <v>46</v>
      </c>
      <c r="AM35" s="292">
        <v>1630627</v>
      </c>
      <c r="AN35" s="293">
        <v>936326</v>
      </c>
      <c r="AO35" s="294">
        <v>1108677</v>
      </c>
      <c r="AP35" s="294">
        <v>47363</v>
      </c>
      <c r="AQ35" s="294">
        <v>0</v>
      </c>
      <c r="AR35" s="292">
        <v>2092366</v>
      </c>
      <c r="AS35" s="293">
        <v>489997</v>
      </c>
      <c r="AT35" s="294">
        <v>314746</v>
      </c>
      <c r="AU35" s="294">
        <v>42363</v>
      </c>
      <c r="AV35" s="294">
        <v>0</v>
      </c>
      <c r="AW35" s="292">
        <v>847106</v>
      </c>
      <c r="AX35" s="293">
        <v>496186</v>
      </c>
      <c r="AY35" s="294">
        <v>408895</v>
      </c>
      <c r="AZ35" s="294">
        <v>62312</v>
      </c>
      <c r="BA35" s="294">
        <v>0</v>
      </c>
      <c r="BB35" s="292">
        <v>967393</v>
      </c>
      <c r="BC35" s="293">
        <v>398390</v>
      </c>
      <c r="BD35" s="294">
        <v>350334</v>
      </c>
      <c r="BE35" s="294">
        <v>-105</v>
      </c>
      <c r="BF35" s="294">
        <v>0</v>
      </c>
      <c r="BG35" s="292">
        <v>748619</v>
      </c>
      <c r="BH35" s="293">
        <v>563254</v>
      </c>
      <c r="BI35" s="294">
        <v>574399</v>
      </c>
      <c r="BJ35" s="294">
        <v>52701</v>
      </c>
      <c r="BK35" s="294">
        <v>0</v>
      </c>
      <c r="BL35" s="292">
        <v>1190354</v>
      </c>
      <c r="BM35" s="293">
        <v>1056020</v>
      </c>
      <c r="BN35" s="294">
        <v>924857</v>
      </c>
      <c r="BO35" s="294">
        <v>454289</v>
      </c>
      <c r="BP35" s="294">
        <v>4395</v>
      </c>
      <c r="BQ35" s="292">
        <v>2439561</v>
      </c>
      <c r="BR35" s="293">
        <v>6586186</v>
      </c>
      <c r="BS35" s="291">
        <v>6729439</v>
      </c>
      <c r="BT35" s="294">
        <v>817849</v>
      </c>
      <c r="BU35" s="294">
        <v>4441</v>
      </c>
      <c r="BV35" s="293">
        <v>14137915</v>
      </c>
      <c r="BW35" s="299"/>
      <c r="BX35" s="296">
        <v>92.722152641203579</v>
      </c>
      <c r="BY35" s="263">
        <v>14137915</v>
      </c>
      <c r="BZ35" s="264">
        <v>0</v>
      </c>
      <c r="CA35" s="297"/>
      <c r="CB35" s="245"/>
    </row>
    <row r="36" spans="1:80" ht="13.5" x14ac:dyDescent="0.25">
      <c r="A36" s="287">
        <v>30</v>
      </c>
      <c r="B36" s="288" t="s">
        <v>245</v>
      </c>
      <c r="D36" s="289"/>
      <c r="E36" s="290">
        <v>683786</v>
      </c>
      <c r="F36" s="291">
        <v>2565392</v>
      </c>
      <c r="G36" s="291">
        <v>31750</v>
      </c>
      <c r="H36" s="291">
        <v>0</v>
      </c>
      <c r="I36" s="292">
        <v>3280928</v>
      </c>
      <c r="J36" s="293">
        <v>25268</v>
      </c>
      <c r="K36" s="294">
        <v>0</v>
      </c>
      <c r="L36" s="294">
        <v>0</v>
      </c>
      <c r="M36" s="294">
        <v>27</v>
      </c>
      <c r="N36" s="292">
        <v>25295</v>
      </c>
      <c r="O36" s="294">
        <v>24248</v>
      </c>
      <c r="P36" s="294">
        <v>594685</v>
      </c>
      <c r="Q36" s="294">
        <v>0</v>
      </c>
      <c r="R36" s="294">
        <v>0</v>
      </c>
      <c r="S36" s="292">
        <v>618933</v>
      </c>
      <c r="T36" s="293">
        <v>31221</v>
      </c>
      <c r="U36" s="294">
        <v>118</v>
      </c>
      <c r="V36" s="294">
        <v>5293</v>
      </c>
      <c r="W36" s="294">
        <v>0</v>
      </c>
      <c r="X36" s="292">
        <v>36632</v>
      </c>
      <c r="Y36" s="293">
        <v>31653</v>
      </c>
      <c r="Z36" s="294">
        <v>115</v>
      </c>
      <c r="AA36" s="294">
        <v>251</v>
      </c>
      <c r="AB36" s="294">
        <v>0</v>
      </c>
      <c r="AC36" s="292">
        <v>32019</v>
      </c>
      <c r="AD36" s="293">
        <v>57688</v>
      </c>
      <c r="AE36" s="294">
        <v>403769</v>
      </c>
      <c r="AF36" s="294">
        <v>2330</v>
      </c>
      <c r="AG36" s="294">
        <v>0</v>
      </c>
      <c r="AH36" s="292">
        <v>463787</v>
      </c>
      <c r="AI36" s="293">
        <v>7912</v>
      </c>
      <c r="AJ36" s="294">
        <v>131435</v>
      </c>
      <c r="AK36" s="294">
        <v>426</v>
      </c>
      <c r="AL36" s="294">
        <v>0</v>
      </c>
      <c r="AM36" s="292">
        <v>139773</v>
      </c>
      <c r="AN36" s="293">
        <v>48433</v>
      </c>
      <c r="AO36" s="294">
        <v>632343</v>
      </c>
      <c r="AP36" s="294">
        <v>1548</v>
      </c>
      <c r="AQ36" s="294">
        <v>0</v>
      </c>
      <c r="AR36" s="292">
        <v>682324</v>
      </c>
      <c r="AS36" s="293">
        <v>43534</v>
      </c>
      <c r="AT36" s="294">
        <v>553</v>
      </c>
      <c r="AU36" s="294">
        <v>601</v>
      </c>
      <c r="AV36" s="294">
        <v>0</v>
      </c>
      <c r="AW36" s="292">
        <v>44688</v>
      </c>
      <c r="AX36" s="293">
        <v>41598</v>
      </c>
      <c r="AY36" s="294">
        <v>146</v>
      </c>
      <c r="AZ36" s="294">
        <v>328</v>
      </c>
      <c r="BA36" s="294">
        <v>0</v>
      </c>
      <c r="BB36" s="292">
        <v>42072</v>
      </c>
      <c r="BC36" s="293">
        <v>37784</v>
      </c>
      <c r="BD36" s="294">
        <v>403</v>
      </c>
      <c r="BE36" s="294">
        <v>401</v>
      </c>
      <c r="BF36" s="294">
        <v>0</v>
      </c>
      <c r="BG36" s="292">
        <v>38588</v>
      </c>
      <c r="BH36" s="293">
        <v>59173</v>
      </c>
      <c r="BI36" s="294">
        <v>749187</v>
      </c>
      <c r="BJ36" s="294">
        <v>1435</v>
      </c>
      <c r="BK36" s="294">
        <v>0</v>
      </c>
      <c r="BL36" s="292">
        <v>809795</v>
      </c>
      <c r="BM36" s="293">
        <v>203146</v>
      </c>
      <c r="BN36" s="294">
        <v>61277</v>
      </c>
      <c r="BO36" s="294">
        <v>2129</v>
      </c>
      <c r="BP36" s="294">
        <v>40</v>
      </c>
      <c r="BQ36" s="292">
        <v>266592</v>
      </c>
      <c r="BR36" s="293">
        <v>611658</v>
      </c>
      <c r="BS36" s="291">
        <v>2574031</v>
      </c>
      <c r="BT36" s="294">
        <v>14742</v>
      </c>
      <c r="BU36" s="294">
        <v>67</v>
      </c>
      <c r="BV36" s="293">
        <v>3200498</v>
      </c>
      <c r="BW36" s="299"/>
      <c r="BX36" s="296">
        <v>97.548559431965586</v>
      </c>
      <c r="BY36" s="263">
        <v>3200498</v>
      </c>
      <c r="BZ36" s="264">
        <v>0</v>
      </c>
      <c r="CA36" s="297"/>
      <c r="CB36" s="245"/>
    </row>
    <row r="37" spans="1:80" ht="13.5" x14ac:dyDescent="0.25">
      <c r="A37" s="287">
        <v>31</v>
      </c>
      <c r="B37" s="288" t="s">
        <v>246</v>
      </c>
      <c r="D37" s="289"/>
      <c r="E37" s="290">
        <v>1942196</v>
      </c>
      <c r="F37" s="291">
        <v>1292282</v>
      </c>
      <c r="G37" s="291">
        <v>64827</v>
      </c>
      <c r="H37" s="291">
        <v>0</v>
      </c>
      <c r="I37" s="292">
        <v>3299305</v>
      </c>
      <c r="J37" s="293">
        <v>115225</v>
      </c>
      <c r="K37" s="294">
        <v>306678</v>
      </c>
      <c r="L37" s="294">
        <v>352</v>
      </c>
      <c r="M37" s="294">
        <v>0</v>
      </c>
      <c r="N37" s="292">
        <v>422255</v>
      </c>
      <c r="O37" s="294">
        <v>149897</v>
      </c>
      <c r="P37" s="294">
        <v>35228</v>
      </c>
      <c r="Q37" s="294">
        <v>0</v>
      </c>
      <c r="R37" s="294">
        <v>0</v>
      </c>
      <c r="S37" s="292">
        <v>185125</v>
      </c>
      <c r="T37" s="293">
        <v>130913</v>
      </c>
      <c r="U37" s="294">
        <v>8001</v>
      </c>
      <c r="V37" s="294">
        <v>30</v>
      </c>
      <c r="W37" s="294">
        <v>20</v>
      </c>
      <c r="X37" s="292">
        <v>138964</v>
      </c>
      <c r="Y37" s="293">
        <v>142056</v>
      </c>
      <c r="Z37" s="294">
        <v>35071</v>
      </c>
      <c r="AA37" s="294">
        <v>956</v>
      </c>
      <c r="AB37" s="294">
        <v>0</v>
      </c>
      <c r="AC37" s="292">
        <v>178083</v>
      </c>
      <c r="AD37" s="293">
        <v>158174</v>
      </c>
      <c r="AE37" s="294">
        <v>268748</v>
      </c>
      <c r="AF37" s="294">
        <v>881</v>
      </c>
      <c r="AG37" s="294">
        <v>0</v>
      </c>
      <c r="AH37" s="292">
        <v>427803</v>
      </c>
      <c r="AI37" s="293">
        <v>138936</v>
      </c>
      <c r="AJ37" s="294">
        <v>1105</v>
      </c>
      <c r="AK37" s="294">
        <v>3115</v>
      </c>
      <c r="AL37" s="294">
        <v>4</v>
      </c>
      <c r="AM37" s="292">
        <v>143160</v>
      </c>
      <c r="AN37" s="293">
        <v>162697</v>
      </c>
      <c r="AO37" s="294">
        <v>54255</v>
      </c>
      <c r="AP37" s="294">
        <v>5144</v>
      </c>
      <c r="AQ37" s="294">
        <v>31</v>
      </c>
      <c r="AR37" s="292">
        <v>222127</v>
      </c>
      <c r="AS37" s="293">
        <v>144996</v>
      </c>
      <c r="AT37" s="294">
        <v>252360</v>
      </c>
      <c r="AU37" s="294">
        <v>12094</v>
      </c>
      <c r="AV37" s="294">
        <v>2</v>
      </c>
      <c r="AW37" s="292">
        <v>409452</v>
      </c>
      <c r="AX37" s="293">
        <v>150119</v>
      </c>
      <c r="AY37" s="294">
        <v>38372</v>
      </c>
      <c r="AZ37" s="294">
        <v>15045</v>
      </c>
      <c r="BA37" s="294">
        <v>0</v>
      </c>
      <c r="BB37" s="292">
        <v>203536</v>
      </c>
      <c r="BC37" s="293">
        <v>127627</v>
      </c>
      <c r="BD37" s="294">
        <v>256125</v>
      </c>
      <c r="BE37" s="294">
        <v>40</v>
      </c>
      <c r="BF37" s="294">
        <v>0</v>
      </c>
      <c r="BG37" s="292">
        <v>383792</v>
      </c>
      <c r="BH37" s="293">
        <v>144728</v>
      </c>
      <c r="BI37" s="294">
        <v>1969</v>
      </c>
      <c r="BJ37" s="294">
        <v>2192</v>
      </c>
      <c r="BK37" s="294">
        <v>0</v>
      </c>
      <c r="BL37" s="292">
        <v>148889</v>
      </c>
      <c r="BM37" s="293">
        <v>180375</v>
      </c>
      <c r="BN37" s="294">
        <v>47157</v>
      </c>
      <c r="BO37" s="294">
        <v>8878</v>
      </c>
      <c r="BP37" s="294">
        <v>12</v>
      </c>
      <c r="BQ37" s="292">
        <v>236422</v>
      </c>
      <c r="BR37" s="293">
        <v>1745743</v>
      </c>
      <c r="BS37" s="291">
        <v>1305069</v>
      </c>
      <c r="BT37" s="294">
        <v>48727</v>
      </c>
      <c r="BU37" s="294">
        <v>69</v>
      </c>
      <c r="BV37" s="293">
        <v>3099608</v>
      </c>
      <c r="BW37" s="299"/>
      <c r="BX37" s="296">
        <v>93.947301022488077</v>
      </c>
      <c r="BY37" s="263">
        <v>3099608</v>
      </c>
      <c r="BZ37" s="264">
        <v>0</v>
      </c>
      <c r="CA37" s="297"/>
      <c r="CB37" s="245"/>
    </row>
    <row r="38" spans="1:80" ht="13.5" x14ac:dyDescent="0.25">
      <c r="A38" s="287">
        <v>32</v>
      </c>
      <c r="B38" s="301" t="s">
        <v>247</v>
      </c>
      <c r="D38" s="289"/>
      <c r="E38" s="290">
        <v>6600377</v>
      </c>
      <c r="F38" s="291">
        <v>2935357</v>
      </c>
      <c r="G38" s="291">
        <v>402067</v>
      </c>
      <c r="H38" s="291">
        <v>0</v>
      </c>
      <c r="I38" s="292">
        <v>9937801</v>
      </c>
      <c r="J38" s="293">
        <v>225803</v>
      </c>
      <c r="K38" s="294">
        <v>153434</v>
      </c>
      <c r="L38" s="294">
        <v>152</v>
      </c>
      <c r="M38" s="294">
        <v>0</v>
      </c>
      <c r="N38" s="292">
        <v>379389</v>
      </c>
      <c r="O38" s="294">
        <v>473175</v>
      </c>
      <c r="P38" s="294">
        <v>109375</v>
      </c>
      <c r="Q38" s="294">
        <v>13208</v>
      </c>
      <c r="R38" s="294">
        <v>0</v>
      </c>
      <c r="S38" s="292">
        <v>595758</v>
      </c>
      <c r="T38" s="293">
        <v>370810</v>
      </c>
      <c r="U38" s="294">
        <v>58648</v>
      </c>
      <c r="V38" s="294">
        <v>30231</v>
      </c>
      <c r="W38" s="294">
        <v>0</v>
      </c>
      <c r="X38" s="292">
        <v>459689</v>
      </c>
      <c r="Y38" s="293">
        <v>319735</v>
      </c>
      <c r="Z38" s="294">
        <v>357030</v>
      </c>
      <c r="AA38" s="294">
        <v>17702</v>
      </c>
      <c r="AB38" s="294">
        <v>0</v>
      </c>
      <c r="AC38" s="292">
        <v>694467</v>
      </c>
      <c r="AD38" s="293">
        <v>519780</v>
      </c>
      <c r="AE38" s="294">
        <v>190750</v>
      </c>
      <c r="AF38" s="294">
        <v>19753</v>
      </c>
      <c r="AG38" s="294">
        <v>0</v>
      </c>
      <c r="AH38" s="292">
        <v>730283</v>
      </c>
      <c r="AI38" s="293">
        <v>302904</v>
      </c>
      <c r="AJ38" s="294">
        <v>213423</v>
      </c>
      <c r="AK38" s="294">
        <v>29019</v>
      </c>
      <c r="AL38" s="294">
        <v>0</v>
      </c>
      <c r="AM38" s="292">
        <v>545346</v>
      </c>
      <c r="AN38" s="293">
        <v>336489</v>
      </c>
      <c r="AO38" s="294">
        <v>465512</v>
      </c>
      <c r="AP38" s="294">
        <v>5922</v>
      </c>
      <c r="AQ38" s="294">
        <v>0</v>
      </c>
      <c r="AR38" s="292">
        <v>807923</v>
      </c>
      <c r="AS38" s="293">
        <v>507778</v>
      </c>
      <c r="AT38" s="294">
        <v>401311</v>
      </c>
      <c r="AU38" s="294">
        <v>18698</v>
      </c>
      <c r="AV38" s="294">
        <v>25</v>
      </c>
      <c r="AW38" s="292">
        <v>927812</v>
      </c>
      <c r="AX38" s="293">
        <v>510197</v>
      </c>
      <c r="AY38" s="294">
        <v>294705</v>
      </c>
      <c r="AZ38" s="294">
        <v>36968</v>
      </c>
      <c r="BA38" s="294">
        <v>0</v>
      </c>
      <c r="BB38" s="292">
        <v>841870</v>
      </c>
      <c r="BC38" s="293">
        <v>455959</v>
      </c>
      <c r="BD38" s="294">
        <v>256166</v>
      </c>
      <c r="BE38" s="294">
        <v>16266</v>
      </c>
      <c r="BF38" s="294">
        <v>0</v>
      </c>
      <c r="BG38" s="292">
        <v>728391</v>
      </c>
      <c r="BH38" s="293">
        <v>446851</v>
      </c>
      <c r="BI38" s="294">
        <v>185942</v>
      </c>
      <c r="BJ38" s="294">
        <v>17923</v>
      </c>
      <c r="BK38" s="294">
        <v>0</v>
      </c>
      <c r="BL38" s="292">
        <v>650716</v>
      </c>
      <c r="BM38" s="293">
        <v>708877</v>
      </c>
      <c r="BN38" s="294">
        <v>210032</v>
      </c>
      <c r="BO38" s="294">
        <v>12319</v>
      </c>
      <c r="BP38" s="294">
        <v>9</v>
      </c>
      <c r="BQ38" s="292">
        <v>931237</v>
      </c>
      <c r="BR38" s="293">
        <v>5178358</v>
      </c>
      <c r="BS38" s="291">
        <v>2896328</v>
      </c>
      <c r="BT38" s="294">
        <v>218161</v>
      </c>
      <c r="BU38" s="294">
        <v>34</v>
      </c>
      <c r="BV38" s="293">
        <v>8292881</v>
      </c>
      <c r="BW38" s="299"/>
      <c r="BX38" s="296">
        <v>83.447847265204842</v>
      </c>
      <c r="BY38" s="263">
        <v>8292881</v>
      </c>
      <c r="BZ38" s="264">
        <v>0</v>
      </c>
      <c r="CA38" s="297"/>
      <c r="CB38" s="245"/>
    </row>
    <row r="39" spans="1:80" ht="13.5" x14ac:dyDescent="0.25">
      <c r="A39" s="302">
        <v>33</v>
      </c>
      <c r="B39" s="262" t="s">
        <v>248</v>
      </c>
      <c r="D39" s="304"/>
      <c r="E39" s="290">
        <v>851683</v>
      </c>
      <c r="F39" s="291">
        <v>28217470</v>
      </c>
      <c r="G39" s="291">
        <v>9866</v>
      </c>
      <c r="H39" s="291">
        <v>0</v>
      </c>
      <c r="I39" s="292">
        <v>29079019</v>
      </c>
      <c r="J39" s="293">
        <v>32666</v>
      </c>
      <c r="K39" s="294">
        <v>992442</v>
      </c>
      <c r="L39" s="294">
        <v>0</v>
      </c>
      <c r="M39" s="294">
        <v>0</v>
      </c>
      <c r="N39" s="292">
        <v>1025108</v>
      </c>
      <c r="O39" s="294">
        <v>33435</v>
      </c>
      <c r="P39" s="294">
        <v>1618754</v>
      </c>
      <c r="Q39" s="294">
        <v>86</v>
      </c>
      <c r="R39" s="294">
        <v>0</v>
      </c>
      <c r="S39" s="292">
        <v>1652275</v>
      </c>
      <c r="T39" s="293">
        <v>46418</v>
      </c>
      <c r="U39" s="294">
        <v>1572036</v>
      </c>
      <c r="V39" s="294">
        <v>620</v>
      </c>
      <c r="W39" s="294">
        <v>0</v>
      </c>
      <c r="X39" s="292">
        <v>1619074</v>
      </c>
      <c r="Y39" s="293">
        <v>45234</v>
      </c>
      <c r="Z39" s="294">
        <v>2833992</v>
      </c>
      <c r="AA39" s="294">
        <v>146</v>
      </c>
      <c r="AB39" s="294">
        <v>0</v>
      </c>
      <c r="AC39" s="292">
        <v>2879372</v>
      </c>
      <c r="AD39" s="293">
        <v>38469</v>
      </c>
      <c r="AE39" s="294">
        <v>1722425</v>
      </c>
      <c r="AF39" s="294">
        <v>323</v>
      </c>
      <c r="AG39" s="294">
        <v>3</v>
      </c>
      <c r="AH39" s="292">
        <v>1761220</v>
      </c>
      <c r="AI39" s="293">
        <v>47681</v>
      </c>
      <c r="AJ39" s="294">
        <v>1203873</v>
      </c>
      <c r="AK39" s="294">
        <v>796</v>
      </c>
      <c r="AL39" s="294">
        <v>0</v>
      </c>
      <c r="AM39" s="292">
        <v>1252350</v>
      </c>
      <c r="AN39" s="293">
        <v>68032</v>
      </c>
      <c r="AO39" s="294">
        <v>1774795</v>
      </c>
      <c r="AP39" s="294">
        <v>1640</v>
      </c>
      <c r="AQ39" s="294">
        <v>23</v>
      </c>
      <c r="AR39" s="292">
        <v>1844490</v>
      </c>
      <c r="AS39" s="293">
        <v>60357</v>
      </c>
      <c r="AT39" s="294">
        <v>4280349</v>
      </c>
      <c r="AU39" s="294">
        <v>1908</v>
      </c>
      <c r="AV39" s="294">
        <v>0</v>
      </c>
      <c r="AW39" s="292">
        <v>4342614</v>
      </c>
      <c r="AX39" s="293">
        <v>62002</v>
      </c>
      <c r="AY39" s="294">
        <v>1901347</v>
      </c>
      <c r="AZ39" s="294">
        <v>536</v>
      </c>
      <c r="BA39" s="294">
        <v>0</v>
      </c>
      <c r="BB39" s="292">
        <v>1963885</v>
      </c>
      <c r="BC39" s="293">
        <v>47615</v>
      </c>
      <c r="BD39" s="294">
        <v>1096395</v>
      </c>
      <c r="BE39" s="294">
        <v>278</v>
      </c>
      <c r="BF39" s="294">
        <v>0</v>
      </c>
      <c r="BG39" s="292">
        <v>1144288</v>
      </c>
      <c r="BH39" s="293">
        <v>57417</v>
      </c>
      <c r="BI39" s="294">
        <v>3083436</v>
      </c>
      <c r="BJ39" s="294">
        <v>562</v>
      </c>
      <c r="BK39" s="294">
        <v>0</v>
      </c>
      <c r="BL39" s="292">
        <v>3141415</v>
      </c>
      <c r="BM39" s="293">
        <v>87000</v>
      </c>
      <c r="BN39" s="294">
        <v>6061650</v>
      </c>
      <c r="BO39" s="294">
        <v>756</v>
      </c>
      <c r="BP39" s="294">
        <v>36</v>
      </c>
      <c r="BQ39" s="292">
        <v>6149442</v>
      </c>
      <c r="BR39" s="293">
        <v>626326</v>
      </c>
      <c r="BS39" s="291">
        <v>28141494</v>
      </c>
      <c r="BT39" s="294">
        <v>7651</v>
      </c>
      <c r="BU39" s="294">
        <v>62</v>
      </c>
      <c r="BV39" s="293">
        <v>28775533</v>
      </c>
      <c r="BW39" s="299"/>
      <c r="BX39" s="296">
        <v>98.956340308454003</v>
      </c>
      <c r="BY39" s="263">
        <v>28775533</v>
      </c>
      <c r="BZ39" s="264">
        <v>0</v>
      </c>
      <c r="CA39" s="297"/>
      <c r="CB39" s="245"/>
    </row>
    <row r="40" spans="1:80" ht="13.5" x14ac:dyDescent="0.25">
      <c r="A40" s="287">
        <v>34</v>
      </c>
      <c r="B40" s="288" t="s">
        <v>249</v>
      </c>
      <c r="D40" s="289"/>
      <c r="E40" s="290">
        <v>1499015</v>
      </c>
      <c r="F40" s="291">
        <v>6049626</v>
      </c>
      <c r="G40" s="291">
        <v>18409</v>
      </c>
      <c r="H40" s="291">
        <v>0</v>
      </c>
      <c r="I40" s="292">
        <v>7567050</v>
      </c>
      <c r="J40" s="293">
        <v>95974</v>
      </c>
      <c r="K40" s="294">
        <v>644148</v>
      </c>
      <c r="L40" s="294">
        <v>89</v>
      </c>
      <c r="M40" s="294">
        <v>0</v>
      </c>
      <c r="N40" s="292">
        <v>740211</v>
      </c>
      <c r="O40" s="294">
        <v>110775</v>
      </c>
      <c r="P40" s="294">
        <v>97342</v>
      </c>
      <c r="Q40" s="294">
        <v>400</v>
      </c>
      <c r="R40" s="294">
        <v>0</v>
      </c>
      <c r="S40" s="292">
        <v>208517</v>
      </c>
      <c r="T40" s="293">
        <v>101866</v>
      </c>
      <c r="U40" s="294">
        <v>745555</v>
      </c>
      <c r="V40" s="294">
        <v>369</v>
      </c>
      <c r="W40" s="294">
        <v>0</v>
      </c>
      <c r="X40" s="292">
        <v>847790</v>
      </c>
      <c r="Y40" s="293">
        <v>108315</v>
      </c>
      <c r="Z40" s="294">
        <v>259529</v>
      </c>
      <c r="AA40" s="294">
        <v>375</v>
      </c>
      <c r="AB40" s="294">
        <v>0</v>
      </c>
      <c r="AC40" s="292">
        <v>368219</v>
      </c>
      <c r="AD40" s="293">
        <v>105876</v>
      </c>
      <c r="AE40" s="294">
        <v>1229322</v>
      </c>
      <c r="AF40" s="294">
        <v>2330</v>
      </c>
      <c r="AG40" s="294">
        <v>0</v>
      </c>
      <c r="AH40" s="292">
        <v>1337528</v>
      </c>
      <c r="AI40" s="293">
        <v>96302</v>
      </c>
      <c r="AJ40" s="294">
        <v>205214</v>
      </c>
      <c r="AK40" s="294">
        <v>46</v>
      </c>
      <c r="AL40" s="294">
        <v>0</v>
      </c>
      <c r="AM40" s="292">
        <v>301562</v>
      </c>
      <c r="AN40" s="293">
        <v>104096</v>
      </c>
      <c r="AO40" s="294">
        <v>653250</v>
      </c>
      <c r="AP40" s="294">
        <v>1054</v>
      </c>
      <c r="AQ40" s="294">
        <v>0</v>
      </c>
      <c r="AR40" s="292">
        <v>758400</v>
      </c>
      <c r="AS40" s="293">
        <v>102635</v>
      </c>
      <c r="AT40" s="294">
        <v>952745</v>
      </c>
      <c r="AU40" s="294">
        <v>672</v>
      </c>
      <c r="AV40" s="294">
        <v>0</v>
      </c>
      <c r="AW40" s="292">
        <v>1056052</v>
      </c>
      <c r="AX40" s="293">
        <v>100780</v>
      </c>
      <c r="AY40" s="294">
        <v>96450</v>
      </c>
      <c r="AZ40" s="294">
        <v>189</v>
      </c>
      <c r="BA40" s="294">
        <v>0</v>
      </c>
      <c r="BB40" s="292">
        <v>197419</v>
      </c>
      <c r="BC40" s="293">
        <v>87692</v>
      </c>
      <c r="BD40" s="294">
        <v>133584</v>
      </c>
      <c r="BE40" s="294">
        <v>-906</v>
      </c>
      <c r="BF40" s="294">
        <v>1457</v>
      </c>
      <c r="BG40" s="292">
        <v>221827</v>
      </c>
      <c r="BH40" s="293">
        <v>122115</v>
      </c>
      <c r="BI40" s="294">
        <v>438586</v>
      </c>
      <c r="BJ40" s="294">
        <v>366</v>
      </c>
      <c r="BK40" s="294">
        <v>0</v>
      </c>
      <c r="BL40" s="292">
        <v>561067</v>
      </c>
      <c r="BM40" s="293">
        <v>176603</v>
      </c>
      <c r="BN40" s="294">
        <v>406280</v>
      </c>
      <c r="BO40" s="294">
        <v>-744</v>
      </c>
      <c r="BP40" s="294">
        <v>3166</v>
      </c>
      <c r="BQ40" s="292">
        <v>585305</v>
      </c>
      <c r="BR40" s="293">
        <v>1313029</v>
      </c>
      <c r="BS40" s="291">
        <v>5862005</v>
      </c>
      <c r="BT40" s="294">
        <v>4240</v>
      </c>
      <c r="BU40" s="294">
        <v>4623</v>
      </c>
      <c r="BV40" s="293">
        <v>7183897</v>
      </c>
      <c r="BW40" s="299"/>
      <c r="BX40" s="296">
        <v>94.936560482618731</v>
      </c>
      <c r="BY40" s="263">
        <v>7183897</v>
      </c>
      <c r="BZ40" s="264">
        <v>0</v>
      </c>
      <c r="CA40" s="297"/>
      <c r="CB40" s="245"/>
    </row>
    <row r="41" spans="1:80" ht="13.5" x14ac:dyDescent="0.25">
      <c r="A41" s="287">
        <v>35</v>
      </c>
      <c r="B41" s="288" t="s">
        <v>250</v>
      </c>
      <c r="D41" s="289"/>
      <c r="E41" s="290">
        <v>506974</v>
      </c>
      <c r="F41" s="291">
        <v>6767909</v>
      </c>
      <c r="G41" s="291">
        <v>3404</v>
      </c>
      <c r="H41" s="291">
        <v>0</v>
      </c>
      <c r="I41" s="292">
        <v>7278287</v>
      </c>
      <c r="J41" s="293">
        <v>28642</v>
      </c>
      <c r="K41" s="294">
        <v>907089</v>
      </c>
      <c r="L41" s="294">
        <v>149</v>
      </c>
      <c r="M41" s="294">
        <v>0</v>
      </c>
      <c r="N41" s="292">
        <v>935880</v>
      </c>
      <c r="O41" s="294">
        <v>26527</v>
      </c>
      <c r="P41" s="294">
        <v>49000</v>
      </c>
      <c r="Q41" s="294">
        <v>0</v>
      </c>
      <c r="R41" s="294">
        <v>0</v>
      </c>
      <c r="S41" s="292">
        <v>75527</v>
      </c>
      <c r="T41" s="293">
        <v>34234</v>
      </c>
      <c r="U41" s="294">
        <v>19668</v>
      </c>
      <c r="V41" s="294">
        <v>567</v>
      </c>
      <c r="W41" s="294">
        <v>0</v>
      </c>
      <c r="X41" s="292">
        <v>54469</v>
      </c>
      <c r="Y41" s="293">
        <v>31585</v>
      </c>
      <c r="Z41" s="294">
        <v>989667</v>
      </c>
      <c r="AA41" s="294">
        <v>200</v>
      </c>
      <c r="AB41" s="294">
        <v>0</v>
      </c>
      <c r="AC41" s="292">
        <v>1021452</v>
      </c>
      <c r="AD41" s="293">
        <v>38095</v>
      </c>
      <c r="AE41" s="294">
        <v>1283657</v>
      </c>
      <c r="AF41" s="294">
        <v>301</v>
      </c>
      <c r="AG41" s="294">
        <v>0</v>
      </c>
      <c r="AH41" s="292">
        <v>1322053</v>
      </c>
      <c r="AI41" s="293">
        <v>36997</v>
      </c>
      <c r="AJ41" s="294">
        <v>265718</v>
      </c>
      <c r="AK41" s="294">
        <v>-156</v>
      </c>
      <c r="AL41" s="294">
        <v>68</v>
      </c>
      <c r="AM41" s="292">
        <v>302627</v>
      </c>
      <c r="AN41" s="293">
        <v>36390</v>
      </c>
      <c r="AO41" s="294">
        <v>698426</v>
      </c>
      <c r="AP41" s="294">
        <v>21</v>
      </c>
      <c r="AQ41" s="294">
        <v>11</v>
      </c>
      <c r="AR41" s="292">
        <v>734848</v>
      </c>
      <c r="AS41" s="293">
        <v>33056</v>
      </c>
      <c r="AT41" s="294">
        <v>420973</v>
      </c>
      <c r="AU41" s="294">
        <v>2894</v>
      </c>
      <c r="AV41" s="294">
        <v>20</v>
      </c>
      <c r="AW41" s="292">
        <v>456943</v>
      </c>
      <c r="AX41" s="293">
        <v>45280</v>
      </c>
      <c r="AY41" s="294">
        <v>839762</v>
      </c>
      <c r="AZ41" s="294">
        <v>557</v>
      </c>
      <c r="BA41" s="294">
        <v>0</v>
      </c>
      <c r="BB41" s="292">
        <v>885599</v>
      </c>
      <c r="BC41" s="293">
        <v>32671</v>
      </c>
      <c r="BD41" s="294">
        <v>457085</v>
      </c>
      <c r="BE41" s="294">
        <v>104</v>
      </c>
      <c r="BF41" s="294">
        <v>0</v>
      </c>
      <c r="BG41" s="292">
        <v>489860</v>
      </c>
      <c r="BH41" s="293">
        <v>33874</v>
      </c>
      <c r="BI41" s="294">
        <v>163793</v>
      </c>
      <c r="BJ41" s="294">
        <v>236</v>
      </c>
      <c r="BK41" s="294">
        <v>447</v>
      </c>
      <c r="BL41" s="292">
        <v>198350</v>
      </c>
      <c r="BM41" s="293">
        <v>52095</v>
      </c>
      <c r="BN41" s="294">
        <v>634865</v>
      </c>
      <c r="BO41" s="294">
        <v>1272</v>
      </c>
      <c r="BP41" s="294">
        <v>0</v>
      </c>
      <c r="BQ41" s="292">
        <v>688232</v>
      </c>
      <c r="BR41" s="293">
        <v>429446</v>
      </c>
      <c r="BS41" s="291">
        <v>6729703</v>
      </c>
      <c r="BT41" s="294">
        <v>6145</v>
      </c>
      <c r="BU41" s="294">
        <v>546</v>
      </c>
      <c r="BV41" s="293">
        <v>7165840</v>
      </c>
      <c r="BW41" s="299"/>
      <c r="BX41" s="296">
        <v>98.455034817945489</v>
      </c>
      <c r="BY41" s="263">
        <v>7165840</v>
      </c>
      <c r="BZ41" s="264">
        <v>0</v>
      </c>
      <c r="CA41" s="297"/>
      <c r="CB41" s="245"/>
    </row>
    <row r="42" spans="1:80" ht="13.5" x14ac:dyDescent="0.25">
      <c r="A42" s="287">
        <v>36</v>
      </c>
      <c r="B42" s="262" t="s">
        <v>251</v>
      </c>
      <c r="D42" s="289"/>
      <c r="E42" s="290">
        <v>196051</v>
      </c>
      <c r="F42" s="291">
        <v>2077528</v>
      </c>
      <c r="G42" s="291">
        <v>4224</v>
      </c>
      <c r="H42" s="291">
        <v>0</v>
      </c>
      <c r="I42" s="292">
        <v>2277803</v>
      </c>
      <c r="J42" s="293">
        <v>13296</v>
      </c>
      <c r="K42" s="294">
        <v>94236</v>
      </c>
      <c r="L42" s="294">
        <v>331</v>
      </c>
      <c r="M42" s="294">
        <v>0</v>
      </c>
      <c r="N42" s="292">
        <v>107863</v>
      </c>
      <c r="O42" s="294">
        <v>15549</v>
      </c>
      <c r="P42" s="294">
        <v>502419</v>
      </c>
      <c r="Q42" s="294">
        <v>184</v>
      </c>
      <c r="R42" s="294">
        <v>0</v>
      </c>
      <c r="S42" s="292">
        <v>518152</v>
      </c>
      <c r="T42" s="293">
        <v>12426</v>
      </c>
      <c r="U42" s="294">
        <v>89876</v>
      </c>
      <c r="V42" s="294">
        <v>429</v>
      </c>
      <c r="W42" s="294">
        <v>0</v>
      </c>
      <c r="X42" s="292">
        <v>102731</v>
      </c>
      <c r="Y42" s="293">
        <v>11928</v>
      </c>
      <c r="Z42" s="294">
        <v>244226</v>
      </c>
      <c r="AA42" s="294">
        <v>418</v>
      </c>
      <c r="AB42" s="294">
        <v>0</v>
      </c>
      <c r="AC42" s="292">
        <v>256572</v>
      </c>
      <c r="AD42" s="293">
        <v>12624</v>
      </c>
      <c r="AE42" s="294">
        <v>548919</v>
      </c>
      <c r="AF42" s="294">
        <v>34</v>
      </c>
      <c r="AG42" s="294">
        <v>0</v>
      </c>
      <c r="AH42" s="292">
        <v>561577</v>
      </c>
      <c r="AI42" s="293">
        <v>21376</v>
      </c>
      <c r="AJ42" s="294">
        <v>183356</v>
      </c>
      <c r="AK42" s="294">
        <v>172</v>
      </c>
      <c r="AL42" s="294">
        <v>0</v>
      </c>
      <c r="AM42" s="292">
        <v>204904</v>
      </c>
      <c r="AN42" s="293">
        <v>15074</v>
      </c>
      <c r="AO42" s="294">
        <v>7647</v>
      </c>
      <c r="AP42" s="294">
        <v>173</v>
      </c>
      <c r="AQ42" s="294">
        <v>0</v>
      </c>
      <c r="AR42" s="292">
        <v>22894</v>
      </c>
      <c r="AS42" s="293">
        <v>15830</v>
      </c>
      <c r="AT42" s="294">
        <v>88657</v>
      </c>
      <c r="AU42" s="294">
        <v>482</v>
      </c>
      <c r="AV42" s="294">
        <v>0</v>
      </c>
      <c r="AW42" s="292">
        <v>104969</v>
      </c>
      <c r="AX42" s="293">
        <v>16023</v>
      </c>
      <c r="AY42" s="294">
        <v>170724</v>
      </c>
      <c r="AZ42" s="294">
        <v>331</v>
      </c>
      <c r="BA42" s="294">
        <v>0</v>
      </c>
      <c r="BB42" s="292">
        <v>187078</v>
      </c>
      <c r="BC42" s="293">
        <v>13181</v>
      </c>
      <c r="BD42" s="294">
        <v>71694</v>
      </c>
      <c r="BE42" s="294">
        <v>130</v>
      </c>
      <c r="BF42" s="294">
        <v>0</v>
      </c>
      <c r="BG42" s="292">
        <v>85005</v>
      </c>
      <c r="BH42" s="293">
        <v>15062</v>
      </c>
      <c r="BI42" s="294">
        <v>5967</v>
      </c>
      <c r="BJ42" s="294">
        <v>153</v>
      </c>
      <c r="BK42" s="294">
        <v>0</v>
      </c>
      <c r="BL42" s="292">
        <v>21182</v>
      </c>
      <c r="BM42" s="293">
        <v>21409</v>
      </c>
      <c r="BN42" s="294">
        <v>53897</v>
      </c>
      <c r="BO42" s="294">
        <v>1066</v>
      </c>
      <c r="BP42" s="294">
        <v>0</v>
      </c>
      <c r="BQ42" s="292">
        <v>76372</v>
      </c>
      <c r="BR42" s="293">
        <v>183778</v>
      </c>
      <c r="BS42" s="291">
        <v>2061618</v>
      </c>
      <c r="BT42" s="294">
        <v>3903</v>
      </c>
      <c r="BU42" s="294">
        <v>0</v>
      </c>
      <c r="BV42" s="293">
        <v>2249299</v>
      </c>
      <c r="BW42" s="299"/>
      <c r="BX42" s="296">
        <v>98.748618734807181</v>
      </c>
      <c r="BY42" s="263">
        <v>2249299</v>
      </c>
      <c r="BZ42" s="264">
        <v>0</v>
      </c>
      <c r="CA42" s="297"/>
      <c r="CB42" s="245"/>
    </row>
    <row r="43" spans="1:80" ht="13.5" x14ac:dyDescent="0.25">
      <c r="A43" s="287">
        <v>37</v>
      </c>
      <c r="B43" s="262" t="s">
        <v>252</v>
      </c>
      <c r="D43" s="309"/>
      <c r="E43" s="290">
        <v>850680</v>
      </c>
      <c r="F43" s="291">
        <v>4332970</v>
      </c>
      <c r="G43" s="291">
        <v>127088</v>
      </c>
      <c r="H43" s="291">
        <v>0</v>
      </c>
      <c r="I43" s="292">
        <v>5310738</v>
      </c>
      <c r="J43" s="293">
        <v>34632</v>
      </c>
      <c r="K43" s="294">
        <v>668650</v>
      </c>
      <c r="L43" s="294">
        <v>0</v>
      </c>
      <c r="M43" s="294">
        <v>0</v>
      </c>
      <c r="N43" s="292">
        <v>703282</v>
      </c>
      <c r="O43" s="294">
        <v>54736</v>
      </c>
      <c r="P43" s="294">
        <v>160450</v>
      </c>
      <c r="Q43" s="294">
        <v>0</v>
      </c>
      <c r="R43" s="294">
        <v>7</v>
      </c>
      <c r="S43" s="292">
        <v>215193</v>
      </c>
      <c r="T43" s="293">
        <v>93941</v>
      </c>
      <c r="U43" s="294">
        <v>51604</v>
      </c>
      <c r="V43" s="294">
        <v>491</v>
      </c>
      <c r="W43" s="294">
        <v>0</v>
      </c>
      <c r="X43" s="292">
        <v>146036</v>
      </c>
      <c r="Y43" s="293">
        <v>44933</v>
      </c>
      <c r="Z43" s="294">
        <v>825902</v>
      </c>
      <c r="AA43" s="294">
        <v>1653</v>
      </c>
      <c r="AB43" s="294">
        <v>0</v>
      </c>
      <c r="AC43" s="292">
        <v>872488</v>
      </c>
      <c r="AD43" s="293">
        <v>89369</v>
      </c>
      <c r="AE43" s="294">
        <v>40846</v>
      </c>
      <c r="AF43" s="294">
        <v>-47</v>
      </c>
      <c r="AG43" s="294">
        <v>7</v>
      </c>
      <c r="AH43" s="292">
        <v>130175</v>
      </c>
      <c r="AI43" s="293">
        <v>41967</v>
      </c>
      <c r="AJ43" s="294">
        <v>206222</v>
      </c>
      <c r="AK43" s="294">
        <v>5632</v>
      </c>
      <c r="AL43" s="294">
        <v>0</v>
      </c>
      <c r="AM43" s="292">
        <v>253821</v>
      </c>
      <c r="AN43" s="293">
        <v>51151</v>
      </c>
      <c r="AO43" s="294">
        <v>707456</v>
      </c>
      <c r="AP43" s="294">
        <v>13709</v>
      </c>
      <c r="AQ43" s="294">
        <v>0</v>
      </c>
      <c r="AR43" s="292">
        <v>772316</v>
      </c>
      <c r="AS43" s="293">
        <v>49339</v>
      </c>
      <c r="AT43" s="294">
        <v>390516</v>
      </c>
      <c r="AU43" s="294">
        <v>244</v>
      </c>
      <c r="AV43" s="294">
        <v>0</v>
      </c>
      <c r="AW43" s="292">
        <v>440099</v>
      </c>
      <c r="AX43" s="293">
        <v>63499</v>
      </c>
      <c r="AY43" s="294">
        <v>139524</v>
      </c>
      <c r="AZ43" s="294">
        <v>1856</v>
      </c>
      <c r="BA43" s="294">
        <v>0</v>
      </c>
      <c r="BB43" s="292">
        <v>204879</v>
      </c>
      <c r="BC43" s="293">
        <v>38139</v>
      </c>
      <c r="BD43" s="294">
        <v>570660</v>
      </c>
      <c r="BE43" s="294">
        <v>462</v>
      </c>
      <c r="BF43" s="294">
        <v>0</v>
      </c>
      <c r="BG43" s="292">
        <v>609261</v>
      </c>
      <c r="BH43" s="293">
        <v>46233</v>
      </c>
      <c r="BI43" s="294">
        <v>304266</v>
      </c>
      <c r="BJ43" s="294">
        <v>73</v>
      </c>
      <c r="BK43" s="294">
        <v>0</v>
      </c>
      <c r="BL43" s="292">
        <v>350572</v>
      </c>
      <c r="BM43" s="293">
        <v>187551</v>
      </c>
      <c r="BN43" s="294">
        <v>237475</v>
      </c>
      <c r="BO43" s="294">
        <v>70267</v>
      </c>
      <c r="BP43" s="294">
        <v>0</v>
      </c>
      <c r="BQ43" s="292">
        <v>495293</v>
      </c>
      <c r="BR43" s="293">
        <v>795490</v>
      </c>
      <c r="BS43" s="291">
        <v>4303571</v>
      </c>
      <c r="BT43" s="294">
        <v>94340</v>
      </c>
      <c r="BU43" s="294">
        <v>14</v>
      </c>
      <c r="BV43" s="293">
        <v>5193415</v>
      </c>
      <c r="BW43" s="299"/>
      <c r="BX43" s="296">
        <v>97.790834343550742</v>
      </c>
      <c r="BY43" s="263">
        <v>5193415</v>
      </c>
      <c r="BZ43" s="264">
        <v>0</v>
      </c>
      <c r="CA43" s="297"/>
      <c r="CB43" s="245"/>
    </row>
    <row r="44" spans="1:80" ht="13.5" x14ac:dyDescent="0.25">
      <c r="A44" s="287">
        <v>38</v>
      </c>
      <c r="B44" s="288" t="s">
        <v>253</v>
      </c>
      <c r="D44" s="289"/>
      <c r="E44" s="290">
        <v>949529</v>
      </c>
      <c r="F44" s="291">
        <v>473551</v>
      </c>
      <c r="G44" s="291">
        <v>3780</v>
      </c>
      <c r="H44" s="291">
        <v>0</v>
      </c>
      <c r="I44" s="292">
        <v>1426860</v>
      </c>
      <c r="J44" s="293">
        <v>46005</v>
      </c>
      <c r="K44" s="294">
        <v>11</v>
      </c>
      <c r="L44" s="294">
        <v>1072</v>
      </c>
      <c r="M44" s="294">
        <v>0</v>
      </c>
      <c r="N44" s="292">
        <v>47088</v>
      </c>
      <c r="O44" s="294">
        <v>59713</v>
      </c>
      <c r="P44" s="294">
        <v>143631</v>
      </c>
      <c r="Q44" s="294">
        <v>436</v>
      </c>
      <c r="R44" s="294">
        <v>0</v>
      </c>
      <c r="S44" s="292">
        <v>203780</v>
      </c>
      <c r="T44" s="293">
        <v>44346</v>
      </c>
      <c r="U44" s="294">
        <v>33191</v>
      </c>
      <c r="V44" s="294">
        <v>1249</v>
      </c>
      <c r="W44" s="294">
        <v>0</v>
      </c>
      <c r="X44" s="292">
        <v>78786</v>
      </c>
      <c r="Y44" s="293">
        <v>39142</v>
      </c>
      <c r="Z44" s="294">
        <v>98744</v>
      </c>
      <c r="AA44" s="294">
        <v>1629</v>
      </c>
      <c r="AB44" s="294">
        <v>0</v>
      </c>
      <c r="AC44" s="292">
        <v>139515</v>
      </c>
      <c r="AD44" s="293">
        <v>36557</v>
      </c>
      <c r="AE44" s="294">
        <v>141</v>
      </c>
      <c r="AF44" s="294">
        <v>783</v>
      </c>
      <c r="AG44" s="294">
        <v>0</v>
      </c>
      <c r="AH44" s="292">
        <v>37481</v>
      </c>
      <c r="AI44" s="293">
        <v>43258</v>
      </c>
      <c r="AJ44" s="294">
        <v>11</v>
      </c>
      <c r="AK44" s="294">
        <v>117</v>
      </c>
      <c r="AL44" s="294">
        <v>0</v>
      </c>
      <c r="AM44" s="292">
        <v>43386</v>
      </c>
      <c r="AN44" s="293">
        <v>43915</v>
      </c>
      <c r="AO44" s="294">
        <v>99876</v>
      </c>
      <c r="AP44" s="294">
        <v>510</v>
      </c>
      <c r="AQ44" s="294">
        <v>0</v>
      </c>
      <c r="AR44" s="292">
        <v>144301</v>
      </c>
      <c r="AS44" s="293">
        <v>54666</v>
      </c>
      <c r="AT44" s="294">
        <v>-1010</v>
      </c>
      <c r="AU44" s="294">
        <v>756</v>
      </c>
      <c r="AV44" s="294">
        <v>2</v>
      </c>
      <c r="AW44" s="292">
        <v>54414</v>
      </c>
      <c r="AX44" s="293">
        <v>47467</v>
      </c>
      <c r="AY44" s="294">
        <v>3425</v>
      </c>
      <c r="AZ44" s="294">
        <v>902</v>
      </c>
      <c r="BA44" s="294">
        <v>0</v>
      </c>
      <c r="BB44" s="292">
        <v>51794</v>
      </c>
      <c r="BC44" s="293">
        <v>35539</v>
      </c>
      <c r="BD44" s="294">
        <v>82784</v>
      </c>
      <c r="BE44" s="294">
        <v>125</v>
      </c>
      <c r="BF44" s="294">
        <v>0</v>
      </c>
      <c r="BG44" s="292">
        <v>118448</v>
      </c>
      <c r="BH44" s="293">
        <v>94621</v>
      </c>
      <c r="BI44" s="294">
        <v>50147</v>
      </c>
      <c r="BJ44" s="294">
        <v>239000</v>
      </c>
      <c r="BK44" s="294">
        <v>0</v>
      </c>
      <c r="BL44" s="292">
        <v>383768</v>
      </c>
      <c r="BM44" s="293">
        <v>91760</v>
      </c>
      <c r="BN44" s="294">
        <v>-12324</v>
      </c>
      <c r="BO44" s="294">
        <v>10033</v>
      </c>
      <c r="BP44" s="294">
        <v>20</v>
      </c>
      <c r="BQ44" s="292">
        <v>89489</v>
      </c>
      <c r="BR44" s="293">
        <v>636989</v>
      </c>
      <c r="BS44" s="291">
        <v>498627</v>
      </c>
      <c r="BT44" s="294">
        <v>256612</v>
      </c>
      <c r="BU44" s="294">
        <v>22</v>
      </c>
      <c r="BV44" s="293">
        <v>1392250</v>
      </c>
      <c r="BW44" s="299"/>
      <c r="BX44" s="296">
        <v>97.574394124160747</v>
      </c>
      <c r="BY44" s="263">
        <v>1392250</v>
      </c>
      <c r="BZ44" s="264">
        <v>0</v>
      </c>
      <c r="CA44" s="297"/>
      <c r="CB44" s="245"/>
    </row>
    <row r="45" spans="1:80" ht="13.5" x14ac:dyDescent="0.25">
      <c r="A45" s="287">
        <v>39</v>
      </c>
      <c r="B45" s="288" t="s">
        <v>254</v>
      </c>
      <c r="D45" s="289"/>
      <c r="E45" s="290">
        <v>1759525</v>
      </c>
      <c r="F45" s="291">
        <v>7497018</v>
      </c>
      <c r="G45" s="291">
        <v>16729</v>
      </c>
      <c r="H45" s="291">
        <v>0</v>
      </c>
      <c r="I45" s="292">
        <v>9273272</v>
      </c>
      <c r="J45" s="293">
        <v>127284</v>
      </c>
      <c r="K45" s="294">
        <v>1011184</v>
      </c>
      <c r="L45" s="294">
        <v>0</v>
      </c>
      <c r="M45" s="294">
        <v>0</v>
      </c>
      <c r="N45" s="292">
        <v>1138468</v>
      </c>
      <c r="O45" s="294">
        <v>86935</v>
      </c>
      <c r="P45" s="294">
        <v>734162</v>
      </c>
      <c r="Q45" s="294">
        <v>0</v>
      </c>
      <c r="R45" s="294">
        <v>0</v>
      </c>
      <c r="S45" s="292">
        <v>821097</v>
      </c>
      <c r="T45" s="293">
        <v>114405</v>
      </c>
      <c r="U45" s="294">
        <v>571137</v>
      </c>
      <c r="V45" s="294">
        <v>5701</v>
      </c>
      <c r="W45" s="294">
        <v>0</v>
      </c>
      <c r="X45" s="292">
        <v>691243</v>
      </c>
      <c r="Y45" s="293">
        <v>139251</v>
      </c>
      <c r="Z45" s="294">
        <v>286148</v>
      </c>
      <c r="AA45" s="294">
        <v>311</v>
      </c>
      <c r="AB45" s="294">
        <v>0</v>
      </c>
      <c r="AC45" s="292">
        <v>425710</v>
      </c>
      <c r="AD45" s="293">
        <v>149611</v>
      </c>
      <c r="AE45" s="294">
        <v>203952</v>
      </c>
      <c r="AF45" s="294">
        <v>4921</v>
      </c>
      <c r="AG45" s="294">
        <v>0</v>
      </c>
      <c r="AH45" s="292">
        <v>358484</v>
      </c>
      <c r="AI45" s="293">
        <v>129839</v>
      </c>
      <c r="AJ45" s="294">
        <v>448715</v>
      </c>
      <c r="AK45" s="294">
        <v>280</v>
      </c>
      <c r="AL45" s="294">
        <v>0</v>
      </c>
      <c r="AM45" s="292">
        <v>578834</v>
      </c>
      <c r="AN45" s="293">
        <v>119656</v>
      </c>
      <c r="AO45" s="294">
        <v>181264</v>
      </c>
      <c r="AP45" s="294">
        <v>57</v>
      </c>
      <c r="AQ45" s="294">
        <v>0</v>
      </c>
      <c r="AR45" s="292">
        <v>300977</v>
      </c>
      <c r="AS45" s="293">
        <v>133399</v>
      </c>
      <c r="AT45" s="294">
        <v>168670</v>
      </c>
      <c r="AU45" s="294">
        <v>494</v>
      </c>
      <c r="AV45" s="294">
        <v>0</v>
      </c>
      <c r="AW45" s="292">
        <v>302563</v>
      </c>
      <c r="AX45" s="293">
        <v>112256</v>
      </c>
      <c r="AY45" s="294">
        <v>371390</v>
      </c>
      <c r="AZ45" s="294">
        <v>0</v>
      </c>
      <c r="BA45" s="294">
        <v>0</v>
      </c>
      <c r="BB45" s="292">
        <v>483646</v>
      </c>
      <c r="BC45" s="293">
        <v>116911</v>
      </c>
      <c r="BD45" s="294">
        <v>348822</v>
      </c>
      <c r="BE45" s="294">
        <v>640</v>
      </c>
      <c r="BF45" s="294">
        <v>0</v>
      </c>
      <c r="BG45" s="292">
        <v>466373</v>
      </c>
      <c r="BH45" s="293">
        <v>147503</v>
      </c>
      <c r="BI45" s="294">
        <v>867032</v>
      </c>
      <c r="BJ45" s="294">
        <v>224</v>
      </c>
      <c r="BK45" s="294">
        <v>0</v>
      </c>
      <c r="BL45" s="292">
        <v>1014759</v>
      </c>
      <c r="BM45" s="293">
        <v>191866</v>
      </c>
      <c r="BN45" s="294">
        <v>2234749</v>
      </c>
      <c r="BO45" s="294">
        <v>30066</v>
      </c>
      <c r="BP45" s="294">
        <v>929</v>
      </c>
      <c r="BQ45" s="292">
        <v>2457610</v>
      </c>
      <c r="BR45" s="293">
        <v>1568916</v>
      </c>
      <c r="BS45" s="291">
        <v>7427225</v>
      </c>
      <c r="BT45" s="294">
        <v>42694</v>
      </c>
      <c r="BU45" s="294">
        <v>929</v>
      </c>
      <c r="BV45" s="293">
        <v>9039764</v>
      </c>
      <c r="BW45" s="299"/>
      <c r="BX45" s="296">
        <v>97.48192439518651</v>
      </c>
      <c r="BY45" s="263">
        <v>9039764</v>
      </c>
      <c r="BZ45" s="264">
        <v>0</v>
      </c>
      <c r="CA45" s="297"/>
      <c r="CB45" s="245"/>
    </row>
    <row r="46" spans="1:80" ht="12" customHeight="1" x14ac:dyDescent="0.25">
      <c r="A46" s="287">
        <v>40</v>
      </c>
      <c r="B46" s="288" t="s">
        <v>255</v>
      </c>
      <c r="D46" s="289"/>
      <c r="E46" s="290">
        <v>1386016</v>
      </c>
      <c r="F46" s="291">
        <v>53638692</v>
      </c>
      <c r="G46" s="291">
        <v>5277</v>
      </c>
      <c r="H46" s="291">
        <v>2324750</v>
      </c>
      <c r="I46" s="292">
        <v>57354735</v>
      </c>
      <c r="J46" s="293">
        <v>51967</v>
      </c>
      <c r="K46" s="294">
        <v>7903395</v>
      </c>
      <c r="L46" s="294">
        <v>0</v>
      </c>
      <c r="M46" s="294">
        <v>0</v>
      </c>
      <c r="N46" s="292">
        <v>7955362</v>
      </c>
      <c r="O46" s="294">
        <v>84343</v>
      </c>
      <c r="P46" s="294">
        <v>3302592</v>
      </c>
      <c r="Q46" s="294">
        <v>40</v>
      </c>
      <c r="R46" s="294">
        <v>0</v>
      </c>
      <c r="S46" s="292">
        <v>3386975</v>
      </c>
      <c r="T46" s="293">
        <v>63315</v>
      </c>
      <c r="U46" s="294">
        <v>1490693</v>
      </c>
      <c r="V46" s="294">
        <v>34</v>
      </c>
      <c r="W46" s="294">
        <v>0</v>
      </c>
      <c r="X46" s="292">
        <v>1554042</v>
      </c>
      <c r="Y46" s="293">
        <v>70005</v>
      </c>
      <c r="Z46" s="294">
        <v>8449559</v>
      </c>
      <c r="AA46" s="294">
        <v>52</v>
      </c>
      <c r="AB46" s="294">
        <v>0</v>
      </c>
      <c r="AC46" s="292">
        <v>8519616</v>
      </c>
      <c r="AD46" s="293">
        <v>112281</v>
      </c>
      <c r="AE46" s="294">
        <v>3566488</v>
      </c>
      <c r="AF46" s="294">
        <v>581</v>
      </c>
      <c r="AG46" s="294">
        <v>631</v>
      </c>
      <c r="AH46" s="292">
        <v>3679981</v>
      </c>
      <c r="AI46" s="293">
        <v>78163</v>
      </c>
      <c r="AJ46" s="294">
        <v>2426042</v>
      </c>
      <c r="AK46" s="294">
        <v>1466</v>
      </c>
      <c r="AL46" s="294">
        <v>0</v>
      </c>
      <c r="AM46" s="292">
        <v>2505671</v>
      </c>
      <c r="AN46" s="293">
        <v>84540</v>
      </c>
      <c r="AO46" s="294">
        <v>8643106</v>
      </c>
      <c r="AP46" s="294">
        <v>762</v>
      </c>
      <c r="AQ46" s="294">
        <v>0</v>
      </c>
      <c r="AR46" s="292">
        <v>8728408</v>
      </c>
      <c r="AS46" s="293">
        <v>80243</v>
      </c>
      <c r="AT46" s="294">
        <v>4756959</v>
      </c>
      <c r="AU46" s="294">
        <v>1316</v>
      </c>
      <c r="AV46" s="294">
        <v>0</v>
      </c>
      <c r="AW46" s="292">
        <v>4838518</v>
      </c>
      <c r="AX46" s="293">
        <v>91694</v>
      </c>
      <c r="AY46" s="294">
        <v>1138751</v>
      </c>
      <c r="AZ46" s="294">
        <v>648</v>
      </c>
      <c r="BA46" s="294">
        <v>0</v>
      </c>
      <c r="BB46" s="292">
        <v>1231093</v>
      </c>
      <c r="BC46" s="293">
        <v>58095</v>
      </c>
      <c r="BD46" s="294">
        <v>2970545</v>
      </c>
      <c r="BE46" s="294">
        <v>301</v>
      </c>
      <c r="BF46" s="294">
        <v>0</v>
      </c>
      <c r="BG46" s="292">
        <v>3028941</v>
      </c>
      <c r="BH46" s="293">
        <v>69988</v>
      </c>
      <c r="BI46" s="294">
        <v>5556857</v>
      </c>
      <c r="BJ46" s="294">
        <v>1079</v>
      </c>
      <c r="BK46" s="294">
        <v>0</v>
      </c>
      <c r="BL46" s="292">
        <v>5627924</v>
      </c>
      <c r="BM46" s="293">
        <v>233515</v>
      </c>
      <c r="BN46" s="294">
        <v>3454123</v>
      </c>
      <c r="BO46" s="294">
        <v>4764</v>
      </c>
      <c r="BP46" s="294">
        <v>2324752</v>
      </c>
      <c r="BQ46" s="292">
        <v>6017154</v>
      </c>
      <c r="BR46" s="293">
        <v>1078149</v>
      </c>
      <c r="BS46" s="291">
        <v>53659110</v>
      </c>
      <c r="BT46" s="294">
        <v>11043</v>
      </c>
      <c r="BU46" s="294">
        <v>2325383</v>
      </c>
      <c r="BV46" s="293">
        <v>57073685</v>
      </c>
      <c r="BW46" s="299"/>
      <c r="BX46" s="296">
        <v>99.509979428899811</v>
      </c>
      <c r="BY46" s="263">
        <v>57073685</v>
      </c>
      <c r="BZ46" s="264">
        <v>0</v>
      </c>
      <c r="CA46" s="297"/>
      <c r="CB46" s="245"/>
    </row>
    <row r="47" spans="1:80" ht="13.5" x14ac:dyDescent="0.25">
      <c r="A47" s="311">
        <v>41</v>
      </c>
      <c r="B47" s="312" t="s">
        <v>256</v>
      </c>
      <c r="C47" s="313"/>
      <c r="D47" s="314"/>
      <c r="E47" s="290">
        <v>3912007</v>
      </c>
      <c r="F47" s="291">
        <v>8832352</v>
      </c>
      <c r="G47" s="291">
        <v>4249932</v>
      </c>
      <c r="H47" s="291">
        <v>0</v>
      </c>
      <c r="I47" s="292">
        <v>16994291</v>
      </c>
      <c r="J47" s="293">
        <v>146563</v>
      </c>
      <c r="K47" s="294">
        <v>9809</v>
      </c>
      <c r="L47" s="294">
        <v>81382</v>
      </c>
      <c r="M47" s="294">
        <v>0</v>
      </c>
      <c r="N47" s="292">
        <v>237754</v>
      </c>
      <c r="O47" s="294">
        <v>256175</v>
      </c>
      <c r="P47" s="294">
        <v>770443</v>
      </c>
      <c r="Q47" s="294">
        <v>31191</v>
      </c>
      <c r="R47" s="294">
        <v>0</v>
      </c>
      <c r="S47" s="292">
        <v>1057809</v>
      </c>
      <c r="T47" s="293">
        <v>218438</v>
      </c>
      <c r="U47" s="294">
        <v>232244</v>
      </c>
      <c r="V47" s="294">
        <v>22379</v>
      </c>
      <c r="W47" s="294">
        <v>0</v>
      </c>
      <c r="X47" s="292">
        <v>473061</v>
      </c>
      <c r="Y47" s="293">
        <v>186291</v>
      </c>
      <c r="Z47" s="294">
        <v>1118178</v>
      </c>
      <c r="AA47" s="294">
        <v>47338</v>
      </c>
      <c r="AB47" s="294">
        <v>0</v>
      </c>
      <c r="AC47" s="292">
        <v>1351807</v>
      </c>
      <c r="AD47" s="293">
        <v>343660</v>
      </c>
      <c r="AE47" s="294">
        <v>501714</v>
      </c>
      <c r="AF47" s="294">
        <v>348689</v>
      </c>
      <c r="AG47" s="294">
        <v>0</v>
      </c>
      <c r="AH47" s="292">
        <v>1194063</v>
      </c>
      <c r="AI47" s="293">
        <v>346114</v>
      </c>
      <c r="AJ47" s="294">
        <v>1396184</v>
      </c>
      <c r="AK47" s="294">
        <v>225620</v>
      </c>
      <c r="AL47" s="294">
        <v>0</v>
      </c>
      <c r="AM47" s="292">
        <v>1967918</v>
      </c>
      <c r="AN47" s="293">
        <v>196418</v>
      </c>
      <c r="AO47" s="294">
        <v>530313</v>
      </c>
      <c r="AP47" s="294">
        <v>213219</v>
      </c>
      <c r="AQ47" s="294">
        <v>0</v>
      </c>
      <c r="AR47" s="292">
        <v>939950</v>
      </c>
      <c r="AS47" s="293">
        <v>346050</v>
      </c>
      <c r="AT47" s="294">
        <v>790036</v>
      </c>
      <c r="AU47" s="294">
        <v>67587</v>
      </c>
      <c r="AV47" s="294">
        <v>0</v>
      </c>
      <c r="AW47" s="292">
        <v>1203673</v>
      </c>
      <c r="AX47" s="293">
        <v>502868</v>
      </c>
      <c r="AY47" s="294">
        <v>647630</v>
      </c>
      <c r="AZ47" s="294">
        <v>229390</v>
      </c>
      <c r="BA47" s="294">
        <v>0</v>
      </c>
      <c r="BB47" s="292">
        <v>1379888</v>
      </c>
      <c r="BC47" s="293">
        <v>178445</v>
      </c>
      <c r="BD47" s="294">
        <v>182414</v>
      </c>
      <c r="BE47" s="294">
        <v>143338</v>
      </c>
      <c r="BF47" s="294">
        <v>0</v>
      </c>
      <c r="BG47" s="292">
        <v>504197</v>
      </c>
      <c r="BH47" s="293">
        <v>269245</v>
      </c>
      <c r="BI47" s="294">
        <v>741336</v>
      </c>
      <c r="BJ47" s="294">
        <v>129374</v>
      </c>
      <c r="BK47" s="294">
        <v>0</v>
      </c>
      <c r="BL47" s="292">
        <v>1139955</v>
      </c>
      <c r="BM47" s="293">
        <v>535340</v>
      </c>
      <c r="BN47" s="294">
        <v>1930342</v>
      </c>
      <c r="BO47" s="294">
        <v>515584</v>
      </c>
      <c r="BP47" s="294">
        <v>0</v>
      </c>
      <c r="BQ47" s="292">
        <v>2981266</v>
      </c>
      <c r="BR47" s="293">
        <v>3525607</v>
      </c>
      <c r="BS47" s="291">
        <v>8850643</v>
      </c>
      <c r="BT47" s="294">
        <v>2055091</v>
      </c>
      <c r="BU47" s="294">
        <v>0</v>
      </c>
      <c r="BV47" s="293">
        <v>14431341</v>
      </c>
      <c r="BW47" s="299"/>
      <c r="BX47" s="296">
        <v>84.91875889379557</v>
      </c>
      <c r="BY47" s="263">
        <v>14431341</v>
      </c>
      <c r="BZ47" s="264">
        <v>0</v>
      </c>
      <c r="CA47" s="315"/>
      <c r="CB47" s="245"/>
    </row>
    <row r="48" spans="1:80" ht="12.75" x14ac:dyDescent="0.2">
      <c r="A48" s="284" t="s">
        <v>257</v>
      </c>
      <c r="B48" s="288"/>
      <c r="D48" s="316"/>
      <c r="E48" s="317">
        <v>254488165</v>
      </c>
      <c r="F48" s="318">
        <v>668378413</v>
      </c>
      <c r="G48" s="318">
        <v>14835462</v>
      </c>
      <c r="H48" s="318">
        <v>87647697</v>
      </c>
      <c r="I48" s="319">
        <v>1025349737</v>
      </c>
      <c r="J48" s="317">
        <v>17622572</v>
      </c>
      <c r="K48" s="318">
        <v>45213323</v>
      </c>
      <c r="L48" s="318">
        <v>324568</v>
      </c>
      <c r="M48" s="318">
        <v>4835</v>
      </c>
      <c r="N48" s="319">
        <v>63165298</v>
      </c>
      <c r="O48" s="318">
        <v>19267389</v>
      </c>
      <c r="P48" s="318">
        <v>50862165</v>
      </c>
      <c r="Q48" s="318">
        <v>861947</v>
      </c>
      <c r="R48" s="318">
        <v>1003876</v>
      </c>
      <c r="S48" s="319">
        <v>71995377</v>
      </c>
      <c r="T48" s="317">
        <v>18476452</v>
      </c>
      <c r="U48" s="318">
        <v>42244408</v>
      </c>
      <c r="V48" s="318">
        <v>15761</v>
      </c>
      <c r="W48" s="318">
        <v>475861</v>
      </c>
      <c r="X48" s="319">
        <v>61212482</v>
      </c>
      <c r="Y48" s="317">
        <v>18789001</v>
      </c>
      <c r="Z48" s="318">
        <v>95242085</v>
      </c>
      <c r="AA48" s="318">
        <v>518145</v>
      </c>
      <c r="AB48" s="318">
        <v>3806670</v>
      </c>
      <c r="AC48" s="319">
        <v>118355901</v>
      </c>
      <c r="AD48" s="317">
        <v>19456847</v>
      </c>
      <c r="AE48" s="318">
        <v>57620690</v>
      </c>
      <c r="AF48" s="318">
        <v>905002</v>
      </c>
      <c r="AG48" s="318">
        <v>5002462</v>
      </c>
      <c r="AH48" s="319">
        <v>82985001</v>
      </c>
      <c r="AI48" s="317">
        <v>19716963</v>
      </c>
      <c r="AJ48" s="318">
        <v>52080089</v>
      </c>
      <c r="AK48" s="318">
        <v>867648</v>
      </c>
      <c r="AL48" s="318">
        <v>3018261</v>
      </c>
      <c r="AM48" s="319">
        <v>75682961</v>
      </c>
      <c r="AN48" s="317">
        <v>20480283</v>
      </c>
      <c r="AO48" s="318">
        <v>60271078</v>
      </c>
      <c r="AP48" s="318">
        <v>1268269</v>
      </c>
      <c r="AQ48" s="318">
        <v>2002731</v>
      </c>
      <c r="AR48" s="319">
        <v>84022361</v>
      </c>
      <c r="AS48" s="317">
        <v>20140301</v>
      </c>
      <c r="AT48" s="318">
        <v>46929931</v>
      </c>
      <c r="AU48" s="318">
        <v>886111</v>
      </c>
      <c r="AV48" s="318">
        <v>3781537</v>
      </c>
      <c r="AW48" s="319">
        <v>71737880</v>
      </c>
      <c r="AX48" s="318">
        <v>19986153</v>
      </c>
      <c r="AY48" s="318">
        <v>65592854</v>
      </c>
      <c r="AZ48" s="318">
        <v>775078</v>
      </c>
      <c r="BA48" s="318">
        <v>16688036</v>
      </c>
      <c r="BB48" s="319">
        <v>103042121</v>
      </c>
      <c r="BC48" s="318">
        <v>18393853</v>
      </c>
      <c r="BD48" s="318">
        <v>39828146</v>
      </c>
      <c r="BE48" s="318">
        <v>568295</v>
      </c>
      <c r="BF48" s="318">
        <v>30302676</v>
      </c>
      <c r="BG48" s="319">
        <v>89092970</v>
      </c>
      <c r="BH48" s="317">
        <v>19957851</v>
      </c>
      <c r="BI48" s="318">
        <v>37629190</v>
      </c>
      <c r="BJ48" s="318">
        <v>1118619</v>
      </c>
      <c r="BK48" s="318">
        <v>13156560</v>
      </c>
      <c r="BL48" s="319">
        <v>71862220</v>
      </c>
      <c r="BM48" s="317">
        <v>27018638</v>
      </c>
      <c r="BN48" s="318">
        <v>73473284</v>
      </c>
      <c r="BO48" s="318">
        <v>3324534</v>
      </c>
      <c r="BP48" s="318">
        <v>6403063</v>
      </c>
      <c r="BQ48" s="319">
        <v>110219519</v>
      </c>
      <c r="BR48" s="317">
        <v>239306303</v>
      </c>
      <c r="BS48" s="318">
        <v>666987243</v>
      </c>
      <c r="BT48" s="318">
        <v>11433977</v>
      </c>
      <c r="BU48" s="318">
        <v>85646568</v>
      </c>
      <c r="BV48" s="319">
        <v>1003374091</v>
      </c>
      <c r="BW48" s="299"/>
      <c r="BX48" s="296">
        <v>97.856765822723375</v>
      </c>
      <c r="BZ48" s="320"/>
    </row>
    <row r="49" spans="1:80" ht="12.75" x14ac:dyDescent="0.2">
      <c r="A49" s="321" t="s">
        <v>258</v>
      </c>
      <c r="B49" s="288"/>
      <c r="D49" s="316"/>
      <c r="E49" s="322"/>
      <c r="F49" s="323"/>
      <c r="G49" s="323"/>
      <c r="H49" s="323"/>
      <c r="I49" s="324"/>
      <c r="J49" s="322"/>
      <c r="K49" s="323"/>
      <c r="L49" s="323"/>
      <c r="M49" s="323"/>
      <c r="N49" s="324"/>
      <c r="O49" s="323"/>
      <c r="P49" s="323"/>
      <c r="Q49" s="323"/>
      <c r="R49" s="323"/>
      <c r="S49" s="324"/>
      <c r="T49" s="322"/>
      <c r="U49" s="323"/>
      <c r="V49" s="323"/>
      <c r="W49" s="323"/>
      <c r="X49" s="324"/>
      <c r="Y49" s="322"/>
      <c r="Z49" s="323"/>
      <c r="AA49" s="323"/>
      <c r="AB49" s="323"/>
      <c r="AC49" s="324"/>
      <c r="AD49" s="322"/>
      <c r="AE49" s="323"/>
      <c r="AF49" s="323"/>
      <c r="AG49" s="323"/>
      <c r="AH49" s="324"/>
      <c r="AI49" s="322"/>
      <c r="AJ49" s="323"/>
      <c r="AK49" s="323"/>
      <c r="AL49" s="323"/>
      <c r="AM49" s="324"/>
      <c r="AN49" s="322"/>
      <c r="AO49" s="323"/>
      <c r="AP49" s="323"/>
      <c r="AQ49" s="323"/>
      <c r="AR49" s="324"/>
      <c r="AS49" s="322"/>
      <c r="AT49" s="323"/>
      <c r="AU49" s="323"/>
      <c r="AV49" s="323"/>
      <c r="AW49" s="324"/>
      <c r="AX49" s="323"/>
      <c r="AY49" s="323"/>
      <c r="AZ49" s="323"/>
      <c r="BA49" s="323"/>
      <c r="BB49" s="324"/>
      <c r="BC49" s="323"/>
      <c r="BD49" s="323"/>
      <c r="BE49" s="323"/>
      <c r="BF49" s="323"/>
      <c r="BG49" s="324"/>
      <c r="BH49" s="322"/>
      <c r="BI49" s="323"/>
      <c r="BJ49" s="323"/>
      <c r="BK49" s="323"/>
      <c r="BL49" s="324"/>
      <c r="BM49" s="322"/>
      <c r="BN49" s="323"/>
      <c r="BO49" s="323"/>
      <c r="BP49" s="323"/>
      <c r="BQ49" s="324"/>
      <c r="BR49" s="322"/>
      <c r="BS49" s="323"/>
      <c r="BT49" s="323"/>
      <c r="BU49" s="323"/>
      <c r="BV49" s="324"/>
      <c r="BW49" s="299"/>
      <c r="BX49" s="296"/>
      <c r="BY49" s="325"/>
      <c r="BZ49" s="320"/>
    </row>
    <row r="50" spans="1:80" ht="12.75" x14ac:dyDescent="0.2">
      <c r="A50" s="284" t="s">
        <v>24</v>
      </c>
      <c r="D50" s="326"/>
      <c r="E50" s="327"/>
      <c r="F50" s="53"/>
      <c r="G50" s="53"/>
      <c r="H50" s="53"/>
      <c r="I50" s="324"/>
      <c r="J50" s="327"/>
      <c r="K50" s="53"/>
      <c r="L50" s="53"/>
      <c r="M50" s="53"/>
      <c r="N50" s="324"/>
      <c r="O50" s="53"/>
      <c r="P50" s="53"/>
      <c r="Q50" s="53"/>
      <c r="R50" s="53"/>
      <c r="S50" s="322"/>
      <c r="T50" s="327"/>
      <c r="U50" s="53"/>
      <c r="V50" s="53"/>
      <c r="W50" s="53"/>
      <c r="X50" s="322"/>
      <c r="Y50" s="327"/>
      <c r="Z50" s="53"/>
      <c r="AA50" s="53"/>
      <c r="AB50" s="53"/>
      <c r="AC50" s="322"/>
      <c r="AD50" s="327"/>
      <c r="AE50" s="53"/>
      <c r="AF50" s="53"/>
      <c r="AG50" s="53"/>
      <c r="AH50" s="322"/>
      <c r="AI50" s="327"/>
      <c r="AJ50" s="53"/>
      <c r="AK50" s="53"/>
      <c r="AL50" s="53"/>
      <c r="AM50" s="322"/>
      <c r="AN50" s="327"/>
      <c r="AO50" s="53"/>
      <c r="AP50" s="53"/>
      <c r="AQ50" s="53"/>
      <c r="AR50" s="324"/>
      <c r="AS50" s="53"/>
      <c r="AT50" s="53"/>
      <c r="AU50" s="53"/>
      <c r="AV50" s="53"/>
      <c r="AW50" s="324"/>
      <c r="AX50" s="53"/>
      <c r="AY50" s="53"/>
      <c r="AZ50" s="53"/>
      <c r="BA50" s="53"/>
      <c r="BB50" s="324"/>
      <c r="BC50" s="53"/>
      <c r="BD50" s="53"/>
      <c r="BE50" s="53"/>
      <c r="BF50" s="53"/>
      <c r="BG50" s="324"/>
      <c r="BH50" s="327"/>
      <c r="BI50" s="53"/>
      <c r="BJ50" s="53"/>
      <c r="BK50" s="53"/>
      <c r="BL50" s="324"/>
      <c r="BM50" s="327"/>
      <c r="BN50" s="53"/>
      <c r="BO50" s="53"/>
      <c r="BP50" s="53"/>
      <c r="BQ50" s="324"/>
      <c r="BR50" s="327"/>
      <c r="BS50" s="53"/>
      <c r="BT50" s="53"/>
      <c r="BU50" s="53"/>
      <c r="BV50" s="322"/>
      <c r="BW50" s="328"/>
      <c r="BX50" s="296"/>
      <c r="BY50" s="325"/>
      <c r="BZ50" s="320"/>
    </row>
    <row r="51" spans="1:80" ht="12.75" x14ac:dyDescent="0.2">
      <c r="A51" s="287" t="s">
        <v>259</v>
      </c>
      <c r="B51" s="329"/>
      <c r="C51" s="329"/>
      <c r="D51" s="326"/>
      <c r="E51" s="291">
        <v>7715</v>
      </c>
      <c r="F51" s="291">
        <v>0</v>
      </c>
      <c r="G51" s="291">
        <v>0</v>
      </c>
      <c r="H51" s="291">
        <v>0</v>
      </c>
      <c r="I51" s="292">
        <v>7715</v>
      </c>
      <c r="J51" s="290">
        <v>475</v>
      </c>
      <c r="K51" s="291">
        <v>0</v>
      </c>
      <c r="L51" s="291">
        <v>0</v>
      </c>
      <c r="M51" s="291">
        <v>0</v>
      </c>
      <c r="N51" s="292">
        <v>475</v>
      </c>
      <c r="O51" s="291">
        <v>475</v>
      </c>
      <c r="P51" s="291">
        <v>0</v>
      </c>
      <c r="Q51" s="291">
        <v>0</v>
      </c>
      <c r="R51" s="291">
        <v>0</v>
      </c>
      <c r="S51" s="292">
        <v>475</v>
      </c>
      <c r="T51" s="291">
        <v>475</v>
      </c>
      <c r="U51" s="291">
        <v>0</v>
      </c>
      <c r="V51" s="291">
        <v>0</v>
      </c>
      <c r="W51" s="291">
        <v>0</v>
      </c>
      <c r="X51" s="292">
        <v>475</v>
      </c>
      <c r="Y51" s="291">
        <v>475</v>
      </c>
      <c r="Z51" s="291">
        <v>0</v>
      </c>
      <c r="AA51" s="291">
        <v>0</v>
      </c>
      <c r="AB51" s="291">
        <v>0</v>
      </c>
      <c r="AC51" s="292">
        <v>475</v>
      </c>
      <c r="AD51" s="291">
        <v>475</v>
      </c>
      <c r="AE51" s="291">
        <v>0</v>
      </c>
      <c r="AF51" s="291">
        <v>0</v>
      </c>
      <c r="AG51" s="291">
        <v>0</v>
      </c>
      <c r="AH51" s="292">
        <v>475</v>
      </c>
      <c r="AI51" s="291">
        <v>475</v>
      </c>
      <c r="AJ51" s="291">
        <v>0</v>
      </c>
      <c r="AK51" s="291">
        <v>0</v>
      </c>
      <c r="AL51" s="291">
        <v>0</v>
      </c>
      <c r="AM51" s="292">
        <v>475</v>
      </c>
      <c r="AN51" s="291">
        <v>475</v>
      </c>
      <c r="AO51" s="291">
        <v>0</v>
      </c>
      <c r="AP51" s="291">
        <v>0</v>
      </c>
      <c r="AQ51" s="291">
        <v>0</v>
      </c>
      <c r="AR51" s="292">
        <v>475</v>
      </c>
      <c r="AS51" s="291">
        <v>475</v>
      </c>
      <c r="AT51" s="291">
        <v>0</v>
      </c>
      <c r="AU51" s="291">
        <v>0</v>
      </c>
      <c r="AV51" s="291">
        <v>0</v>
      </c>
      <c r="AW51" s="292">
        <v>475</v>
      </c>
      <c r="AX51" s="291">
        <v>475</v>
      </c>
      <c r="AY51" s="291">
        <v>0</v>
      </c>
      <c r="AZ51" s="291">
        <v>0</v>
      </c>
      <c r="BA51" s="291">
        <v>0</v>
      </c>
      <c r="BB51" s="292">
        <v>475</v>
      </c>
      <c r="BC51" s="291">
        <v>475</v>
      </c>
      <c r="BD51" s="291">
        <v>0</v>
      </c>
      <c r="BE51" s="291">
        <v>0</v>
      </c>
      <c r="BF51" s="291">
        <v>0</v>
      </c>
      <c r="BG51" s="292">
        <v>475</v>
      </c>
      <c r="BH51" s="291">
        <v>475</v>
      </c>
      <c r="BI51" s="291">
        <v>0</v>
      </c>
      <c r="BJ51" s="291">
        <v>0</v>
      </c>
      <c r="BK51" s="291">
        <v>0</v>
      </c>
      <c r="BL51" s="292">
        <v>475</v>
      </c>
      <c r="BM51" s="291">
        <v>475</v>
      </c>
      <c r="BN51" s="291">
        <v>0</v>
      </c>
      <c r="BO51" s="291">
        <v>0</v>
      </c>
      <c r="BP51" s="291">
        <v>0</v>
      </c>
      <c r="BQ51" s="292">
        <v>475</v>
      </c>
      <c r="BR51" s="291">
        <v>5700</v>
      </c>
      <c r="BS51" s="291">
        <v>0</v>
      </c>
      <c r="BT51" s="291">
        <v>0</v>
      </c>
      <c r="BU51" s="291">
        <v>0</v>
      </c>
      <c r="BV51" s="292">
        <v>5700</v>
      </c>
      <c r="BW51" s="299"/>
      <c r="BX51" s="296">
        <v>73.88204795852235</v>
      </c>
      <c r="BY51" s="263">
        <v>5700</v>
      </c>
      <c r="BZ51" s="101">
        <v>0</v>
      </c>
      <c r="CA51" s="330"/>
      <c r="CB51" s="331"/>
    </row>
    <row r="52" spans="1:80" ht="12.75" x14ac:dyDescent="0.2">
      <c r="A52" s="287" t="s">
        <v>260</v>
      </c>
      <c r="B52" s="329"/>
      <c r="D52" s="316" t="s">
        <v>86</v>
      </c>
      <c r="E52" s="291">
        <v>476474</v>
      </c>
      <c r="F52" s="291">
        <v>0</v>
      </c>
      <c r="G52" s="291">
        <v>0</v>
      </c>
      <c r="H52" s="291">
        <v>0</v>
      </c>
      <c r="I52" s="292">
        <v>476474</v>
      </c>
      <c r="J52" s="290">
        <v>42263</v>
      </c>
      <c r="K52" s="291">
        <v>0</v>
      </c>
      <c r="L52" s="291">
        <v>0</v>
      </c>
      <c r="M52" s="291">
        <v>0</v>
      </c>
      <c r="N52" s="292">
        <v>42263</v>
      </c>
      <c r="O52" s="291">
        <v>42263</v>
      </c>
      <c r="P52" s="291">
        <v>0</v>
      </c>
      <c r="Q52" s="291">
        <v>0</v>
      </c>
      <c r="R52" s="291">
        <v>0</v>
      </c>
      <c r="S52" s="292">
        <v>42263</v>
      </c>
      <c r="T52" s="291">
        <v>42263</v>
      </c>
      <c r="U52" s="291">
        <v>0</v>
      </c>
      <c r="V52" s="291">
        <v>0</v>
      </c>
      <c r="W52" s="291">
        <v>0</v>
      </c>
      <c r="X52" s="292">
        <v>42263</v>
      </c>
      <c r="Y52" s="291">
        <v>42263</v>
      </c>
      <c r="Z52" s="291">
        <v>0</v>
      </c>
      <c r="AA52" s="291">
        <v>0</v>
      </c>
      <c r="AB52" s="291">
        <v>0</v>
      </c>
      <c r="AC52" s="292">
        <v>42263</v>
      </c>
      <c r="AD52" s="291">
        <v>42263</v>
      </c>
      <c r="AE52" s="291">
        <v>0</v>
      </c>
      <c r="AF52" s="291">
        <v>0</v>
      </c>
      <c r="AG52" s="291">
        <v>0</v>
      </c>
      <c r="AH52" s="292">
        <v>42263</v>
      </c>
      <c r="AI52" s="291">
        <v>42263</v>
      </c>
      <c r="AJ52" s="291">
        <v>0</v>
      </c>
      <c r="AK52" s="291">
        <v>0</v>
      </c>
      <c r="AL52" s="291">
        <v>0</v>
      </c>
      <c r="AM52" s="292">
        <v>42263</v>
      </c>
      <c r="AN52" s="291">
        <v>42263</v>
      </c>
      <c r="AO52" s="291">
        <v>0</v>
      </c>
      <c r="AP52" s="291">
        <v>0</v>
      </c>
      <c r="AQ52" s="291">
        <v>0</v>
      </c>
      <c r="AR52" s="292">
        <v>42263</v>
      </c>
      <c r="AS52" s="291">
        <v>42263</v>
      </c>
      <c r="AT52" s="291">
        <v>0</v>
      </c>
      <c r="AU52" s="291">
        <v>0</v>
      </c>
      <c r="AV52" s="291">
        <v>0</v>
      </c>
      <c r="AW52" s="292">
        <v>42263</v>
      </c>
      <c r="AX52" s="291">
        <v>42263</v>
      </c>
      <c r="AY52" s="291">
        <v>0</v>
      </c>
      <c r="AZ52" s="291">
        <v>0</v>
      </c>
      <c r="BA52" s="291">
        <v>0</v>
      </c>
      <c r="BB52" s="292">
        <v>42263</v>
      </c>
      <c r="BC52" s="291">
        <v>32263</v>
      </c>
      <c r="BD52" s="291">
        <v>0</v>
      </c>
      <c r="BE52" s="291">
        <v>0</v>
      </c>
      <c r="BF52" s="291">
        <v>0</v>
      </c>
      <c r="BG52" s="292">
        <v>32263</v>
      </c>
      <c r="BH52" s="291">
        <v>32263</v>
      </c>
      <c r="BI52" s="291">
        <v>0</v>
      </c>
      <c r="BJ52" s="291">
        <v>0</v>
      </c>
      <c r="BK52" s="291">
        <v>0</v>
      </c>
      <c r="BL52" s="292">
        <v>32263</v>
      </c>
      <c r="BM52" s="291">
        <v>31581</v>
      </c>
      <c r="BN52" s="291">
        <v>0</v>
      </c>
      <c r="BO52" s="291">
        <v>0</v>
      </c>
      <c r="BP52" s="291">
        <v>0</v>
      </c>
      <c r="BQ52" s="292">
        <v>31581</v>
      </c>
      <c r="BR52" s="291">
        <v>476474</v>
      </c>
      <c r="BS52" s="291">
        <v>0</v>
      </c>
      <c r="BT52" s="291">
        <v>0</v>
      </c>
      <c r="BU52" s="291">
        <v>0</v>
      </c>
      <c r="BV52" s="292">
        <v>476474</v>
      </c>
      <c r="BW52" s="299"/>
      <c r="BX52" s="296">
        <v>100</v>
      </c>
      <c r="BY52" s="263">
        <v>0</v>
      </c>
      <c r="BZ52" s="101">
        <v>476474</v>
      </c>
      <c r="CA52" s="330"/>
      <c r="CB52" s="331"/>
    </row>
    <row r="53" spans="1:80" ht="12.75" x14ac:dyDescent="0.2">
      <c r="A53" s="287" t="s">
        <v>261</v>
      </c>
      <c r="B53" s="329"/>
      <c r="D53" s="332"/>
      <c r="E53" s="291">
        <v>233027798</v>
      </c>
      <c r="F53" s="291">
        <v>0</v>
      </c>
      <c r="G53" s="291">
        <v>0</v>
      </c>
      <c r="H53" s="291">
        <v>0</v>
      </c>
      <c r="I53" s="292">
        <v>233027798</v>
      </c>
      <c r="J53" s="290">
        <v>4156462.4270000001</v>
      </c>
      <c r="K53" s="291">
        <v>0</v>
      </c>
      <c r="L53" s="291">
        <v>0</v>
      </c>
      <c r="M53" s="291">
        <v>0</v>
      </c>
      <c r="N53" s="292">
        <v>4156462.4270000001</v>
      </c>
      <c r="O53" s="291">
        <v>1746959.1300000001</v>
      </c>
      <c r="P53" s="291">
        <v>0</v>
      </c>
      <c r="Q53" s="291">
        <v>0</v>
      </c>
      <c r="R53" s="291">
        <v>0</v>
      </c>
      <c r="S53" s="292">
        <v>1746959.1300000001</v>
      </c>
      <c r="T53" s="291">
        <v>23287136</v>
      </c>
      <c r="U53" s="291">
        <v>0</v>
      </c>
      <c r="V53" s="291">
        <v>0</v>
      </c>
      <c r="W53" s="291">
        <v>0</v>
      </c>
      <c r="X53" s="292">
        <v>23287136</v>
      </c>
      <c r="Y53" s="291">
        <v>33793248</v>
      </c>
      <c r="Z53" s="291">
        <v>0</v>
      </c>
      <c r="AA53" s="291">
        <v>0</v>
      </c>
      <c r="AB53" s="291">
        <v>0</v>
      </c>
      <c r="AC53" s="292">
        <v>33793248</v>
      </c>
      <c r="AD53" s="291">
        <v>32588390.123</v>
      </c>
      <c r="AE53" s="291">
        <v>0</v>
      </c>
      <c r="AF53" s="291">
        <v>0</v>
      </c>
      <c r="AG53" s="291">
        <v>0</v>
      </c>
      <c r="AH53" s="292">
        <v>32588390.123</v>
      </c>
      <c r="AI53" s="291">
        <v>20719704.243000001</v>
      </c>
      <c r="AJ53" s="291">
        <v>0</v>
      </c>
      <c r="AK53" s="291">
        <v>0</v>
      </c>
      <c r="AL53" s="291">
        <v>0</v>
      </c>
      <c r="AM53" s="292">
        <v>20719704.243000001</v>
      </c>
      <c r="AN53" s="291">
        <v>3593963.963</v>
      </c>
      <c r="AO53" s="291">
        <v>0</v>
      </c>
      <c r="AP53" s="291">
        <v>0</v>
      </c>
      <c r="AQ53" s="291">
        <v>0</v>
      </c>
      <c r="AR53" s="74">
        <v>3593963.963</v>
      </c>
      <c r="AS53" s="291">
        <v>2242145.0050000004</v>
      </c>
      <c r="AT53" s="291">
        <v>0</v>
      </c>
      <c r="AU53" s="291">
        <v>0</v>
      </c>
      <c r="AV53" s="291">
        <v>0</v>
      </c>
      <c r="AW53" s="74">
        <v>2242145.0050000004</v>
      </c>
      <c r="AX53" s="291">
        <v>23505078</v>
      </c>
      <c r="AY53" s="291">
        <v>0</v>
      </c>
      <c r="AZ53" s="291">
        <v>0</v>
      </c>
      <c r="BA53" s="291">
        <v>0</v>
      </c>
      <c r="BB53" s="74">
        <v>23505078</v>
      </c>
      <c r="BC53" s="291">
        <v>33703384.236999996</v>
      </c>
      <c r="BD53" s="291">
        <v>0</v>
      </c>
      <c r="BE53" s="291">
        <v>0</v>
      </c>
      <c r="BF53" s="291">
        <v>0</v>
      </c>
      <c r="BG53" s="74">
        <v>33703384.236999996</v>
      </c>
      <c r="BH53" s="291">
        <v>32103379.975990001</v>
      </c>
      <c r="BI53" s="291">
        <v>0</v>
      </c>
      <c r="BJ53" s="291">
        <v>0</v>
      </c>
      <c r="BK53" s="291">
        <v>0</v>
      </c>
      <c r="BL53" s="74">
        <v>32103379.975990001</v>
      </c>
      <c r="BM53" s="291">
        <v>21155807</v>
      </c>
      <c r="BN53" s="291">
        <v>0</v>
      </c>
      <c r="BO53" s="291">
        <v>0</v>
      </c>
      <c r="BP53" s="291">
        <v>0</v>
      </c>
      <c r="BQ53" s="74">
        <v>21155807</v>
      </c>
      <c r="BR53" s="291">
        <v>232595658.10398999</v>
      </c>
      <c r="BS53" s="291">
        <v>0</v>
      </c>
      <c r="BT53" s="291">
        <v>0</v>
      </c>
      <c r="BU53" s="291">
        <v>0</v>
      </c>
      <c r="BV53" s="292">
        <v>232595658.10398999</v>
      </c>
      <c r="BW53" s="299"/>
      <c r="BX53" s="296">
        <v>99.814554358012685</v>
      </c>
      <c r="BZ53" s="101"/>
      <c r="CA53" s="330"/>
      <c r="CB53" s="331"/>
    </row>
    <row r="54" spans="1:80" s="334" customFormat="1" ht="12.75" x14ac:dyDescent="0.2">
      <c r="A54" s="333" t="s">
        <v>131</v>
      </c>
      <c r="D54" s="332"/>
      <c r="E54" s="69">
        <v>232449798</v>
      </c>
      <c r="F54" s="69">
        <v>0</v>
      </c>
      <c r="G54" s="69">
        <v>0</v>
      </c>
      <c r="H54" s="69">
        <v>0</v>
      </c>
      <c r="I54" s="335">
        <v>232449798</v>
      </c>
      <c r="J54" s="336">
        <v>4134676.6850000001</v>
      </c>
      <c r="K54" s="69">
        <v>0</v>
      </c>
      <c r="L54" s="69">
        <v>0</v>
      </c>
      <c r="M54" s="69">
        <v>0</v>
      </c>
      <c r="N54" s="335">
        <v>4134676.6850000001</v>
      </c>
      <c r="O54" s="69">
        <v>1746663.6</v>
      </c>
      <c r="P54" s="69">
        <v>0</v>
      </c>
      <c r="Q54" s="69">
        <v>0</v>
      </c>
      <c r="R54" s="69">
        <v>0</v>
      </c>
      <c r="S54" s="335">
        <v>1746663.6</v>
      </c>
      <c r="T54" s="69">
        <v>23286764</v>
      </c>
      <c r="U54" s="69">
        <v>0</v>
      </c>
      <c r="V54" s="69">
        <v>0</v>
      </c>
      <c r="W54" s="69">
        <v>0</v>
      </c>
      <c r="X54" s="335">
        <v>23286764</v>
      </c>
      <c r="Y54" s="337">
        <v>33793154.909999996</v>
      </c>
      <c r="Z54" s="69">
        <v>0</v>
      </c>
      <c r="AA54" s="69">
        <v>0</v>
      </c>
      <c r="AB54" s="69">
        <v>0</v>
      </c>
      <c r="AC54" s="335">
        <v>33793154.909999996</v>
      </c>
      <c r="AD54" s="69">
        <v>32588003.640999999</v>
      </c>
      <c r="AE54" s="69">
        <v>0</v>
      </c>
      <c r="AF54" s="69">
        <v>0</v>
      </c>
      <c r="AG54" s="69">
        <v>0</v>
      </c>
      <c r="AH54" s="335">
        <v>32588003.640999999</v>
      </c>
      <c r="AI54" s="69">
        <v>20719641.107999999</v>
      </c>
      <c r="AJ54" s="69">
        <v>0</v>
      </c>
      <c r="AK54" s="69">
        <v>0</v>
      </c>
      <c r="AL54" s="69">
        <v>0</v>
      </c>
      <c r="AM54" s="335">
        <v>20719641.107999999</v>
      </c>
      <c r="AN54" s="69">
        <v>3229087.1039999998</v>
      </c>
      <c r="AO54" s="69">
        <v>0</v>
      </c>
      <c r="AP54" s="69">
        <v>0</v>
      </c>
      <c r="AQ54" s="69">
        <v>0</v>
      </c>
      <c r="AR54" s="335">
        <v>3229087.1039999998</v>
      </c>
      <c r="AS54" s="69">
        <v>2242055.5410000002</v>
      </c>
      <c r="AT54" s="69">
        <v>0</v>
      </c>
      <c r="AU54" s="69">
        <v>0</v>
      </c>
      <c r="AV54" s="69">
        <v>0</v>
      </c>
      <c r="AW54" s="335">
        <v>2242055.5410000002</v>
      </c>
      <c r="AX54" s="69">
        <v>23504930</v>
      </c>
      <c r="AY54" s="69">
        <v>0</v>
      </c>
      <c r="AZ54" s="69">
        <v>0</v>
      </c>
      <c r="BA54" s="69">
        <v>0</v>
      </c>
      <c r="BB54" s="335">
        <v>23504930</v>
      </c>
      <c r="BC54" s="69">
        <v>33703219.071999997</v>
      </c>
      <c r="BD54" s="69">
        <v>0</v>
      </c>
      <c r="BE54" s="69">
        <v>0</v>
      </c>
      <c r="BF54" s="69">
        <v>0</v>
      </c>
      <c r="BG54" s="335">
        <v>33703219.071999997</v>
      </c>
      <c r="BH54" s="69">
        <v>32093807</v>
      </c>
      <c r="BI54" s="69">
        <v>0</v>
      </c>
      <c r="BJ54" s="69">
        <v>0</v>
      </c>
      <c r="BK54" s="69">
        <v>0</v>
      </c>
      <c r="BL54" s="335">
        <v>32093807</v>
      </c>
      <c r="BM54" s="69">
        <v>21113388</v>
      </c>
      <c r="BN54" s="69">
        <v>0</v>
      </c>
      <c r="BO54" s="69">
        <v>0</v>
      </c>
      <c r="BP54" s="69">
        <v>0</v>
      </c>
      <c r="BQ54" s="335">
        <v>21113388</v>
      </c>
      <c r="BR54" s="69">
        <v>232155390.66099998</v>
      </c>
      <c r="BS54" s="69">
        <v>0</v>
      </c>
      <c r="BT54" s="69">
        <v>0</v>
      </c>
      <c r="BU54" s="69">
        <v>0</v>
      </c>
      <c r="BV54" s="335">
        <v>232155390.66099998</v>
      </c>
      <c r="BW54" s="338"/>
      <c r="BX54" s="296">
        <v>99.873345840033807</v>
      </c>
      <c r="BY54" s="263"/>
      <c r="BZ54" s="101"/>
      <c r="CB54" s="331"/>
    </row>
    <row r="55" spans="1:80" s="334" customFormat="1" ht="12.75" x14ac:dyDescent="0.2">
      <c r="A55" s="333" t="s">
        <v>262</v>
      </c>
      <c r="D55" s="332"/>
      <c r="E55" s="69">
        <v>578000</v>
      </c>
      <c r="F55" s="69">
        <v>0</v>
      </c>
      <c r="G55" s="69">
        <v>0</v>
      </c>
      <c r="H55" s="69">
        <v>0</v>
      </c>
      <c r="I55" s="335">
        <v>578000</v>
      </c>
      <c r="J55" s="336">
        <v>21785.741999999998</v>
      </c>
      <c r="K55" s="69">
        <v>0</v>
      </c>
      <c r="L55" s="69">
        <v>0</v>
      </c>
      <c r="M55" s="69">
        <v>0</v>
      </c>
      <c r="N55" s="335">
        <v>21785.741999999998</v>
      </c>
      <c r="O55" s="69">
        <v>295.52999999999997</v>
      </c>
      <c r="P55" s="69">
        <v>0</v>
      </c>
      <c r="Q55" s="69">
        <v>0</v>
      </c>
      <c r="R55" s="69">
        <v>0</v>
      </c>
      <c r="S55" s="335">
        <v>295.52999999999997</v>
      </c>
      <c r="T55" s="69">
        <v>372</v>
      </c>
      <c r="U55" s="69">
        <v>0</v>
      </c>
      <c r="V55" s="69">
        <v>0</v>
      </c>
      <c r="W55" s="69">
        <v>0</v>
      </c>
      <c r="X55" s="335">
        <v>372</v>
      </c>
      <c r="Y55" s="337">
        <v>93.09</v>
      </c>
      <c r="Z55" s="69">
        <v>0</v>
      </c>
      <c r="AA55" s="69">
        <v>0</v>
      </c>
      <c r="AB55" s="69">
        <v>0</v>
      </c>
      <c r="AC55" s="292">
        <v>93.09</v>
      </c>
      <c r="AD55" s="69">
        <v>386.48200000000003</v>
      </c>
      <c r="AE55" s="69">
        <v>0</v>
      </c>
      <c r="AF55" s="69">
        <v>0</v>
      </c>
      <c r="AG55" s="69">
        <v>0</v>
      </c>
      <c r="AH55" s="335">
        <v>386.48200000000003</v>
      </c>
      <c r="AI55" s="69">
        <v>63.134999999999998</v>
      </c>
      <c r="AJ55" s="69">
        <v>0</v>
      </c>
      <c r="AK55" s="69">
        <v>0</v>
      </c>
      <c r="AL55" s="69">
        <v>0</v>
      </c>
      <c r="AM55" s="335">
        <v>63.134999999999998</v>
      </c>
      <c r="AN55" s="69">
        <v>364876.859</v>
      </c>
      <c r="AO55" s="69">
        <v>0</v>
      </c>
      <c r="AP55" s="69">
        <v>0</v>
      </c>
      <c r="AQ55" s="69">
        <v>0</v>
      </c>
      <c r="AR55" s="335">
        <v>364876.859</v>
      </c>
      <c r="AS55" s="69">
        <v>89.463999999999999</v>
      </c>
      <c r="AT55" s="69">
        <v>0</v>
      </c>
      <c r="AU55" s="69">
        <v>0</v>
      </c>
      <c r="AV55" s="69">
        <v>0</v>
      </c>
      <c r="AW55" s="335">
        <v>89.463999999999999</v>
      </c>
      <c r="AX55" s="69">
        <v>148</v>
      </c>
      <c r="AY55" s="69">
        <v>0</v>
      </c>
      <c r="AZ55" s="69">
        <v>0</v>
      </c>
      <c r="BA55" s="69">
        <v>0</v>
      </c>
      <c r="BB55" s="335">
        <v>148</v>
      </c>
      <c r="BC55" s="69">
        <v>165.16499999999999</v>
      </c>
      <c r="BD55" s="69">
        <v>0</v>
      </c>
      <c r="BE55" s="69">
        <v>0</v>
      </c>
      <c r="BF55" s="69">
        <v>0</v>
      </c>
      <c r="BG55" s="335">
        <v>165.16499999999999</v>
      </c>
      <c r="BH55" s="69">
        <v>9572.9759900000008</v>
      </c>
      <c r="BI55" s="69">
        <v>0</v>
      </c>
      <c r="BJ55" s="69">
        <v>0</v>
      </c>
      <c r="BK55" s="69">
        <v>0</v>
      </c>
      <c r="BL55" s="335">
        <v>9572.9759900000008</v>
      </c>
      <c r="BM55" s="69">
        <v>42419</v>
      </c>
      <c r="BN55" s="69">
        <v>0</v>
      </c>
      <c r="BO55" s="69">
        <v>0</v>
      </c>
      <c r="BP55" s="69">
        <v>0</v>
      </c>
      <c r="BQ55" s="335">
        <v>42419</v>
      </c>
      <c r="BR55" s="69">
        <v>440267.44298999995</v>
      </c>
      <c r="BS55" s="69">
        <v>0</v>
      </c>
      <c r="BT55" s="69">
        <v>0</v>
      </c>
      <c r="BU55" s="69">
        <v>0</v>
      </c>
      <c r="BV55" s="335">
        <v>440267.44298999995</v>
      </c>
      <c r="BW55" s="338"/>
      <c r="BX55" s="296"/>
      <c r="BY55" s="263"/>
      <c r="BZ55" s="101"/>
      <c r="CA55" s="330"/>
      <c r="CB55" s="331"/>
    </row>
    <row r="56" spans="1:80" ht="12.75" x14ac:dyDescent="0.2">
      <c r="A56" s="287" t="s">
        <v>263</v>
      </c>
      <c r="B56" s="329"/>
      <c r="D56" s="316"/>
      <c r="E56" s="291">
        <v>0</v>
      </c>
      <c r="F56" s="69">
        <v>520717021</v>
      </c>
      <c r="G56" s="291">
        <v>0</v>
      </c>
      <c r="H56" s="291">
        <v>0</v>
      </c>
      <c r="I56" s="292">
        <v>520717021</v>
      </c>
      <c r="J56" s="290">
        <v>0</v>
      </c>
      <c r="K56" s="291">
        <v>44872627</v>
      </c>
      <c r="L56" s="291">
        <v>0</v>
      </c>
      <c r="M56" s="291">
        <v>0</v>
      </c>
      <c r="N56" s="292">
        <v>44872627</v>
      </c>
      <c r="O56" s="291">
        <v>0</v>
      </c>
      <c r="P56" s="291">
        <v>44872627</v>
      </c>
      <c r="Q56" s="291">
        <v>0</v>
      </c>
      <c r="R56" s="291">
        <v>0</v>
      </c>
      <c r="S56" s="292">
        <v>44872627</v>
      </c>
      <c r="T56" s="291">
        <v>0</v>
      </c>
      <c r="U56" s="291">
        <v>44872627</v>
      </c>
      <c r="V56" s="291">
        <v>0</v>
      </c>
      <c r="W56" s="291">
        <v>0</v>
      </c>
      <c r="X56" s="292">
        <v>44872627</v>
      </c>
      <c r="Y56" s="291">
        <v>0</v>
      </c>
      <c r="Z56" s="291">
        <v>44872627</v>
      </c>
      <c r="AA56" s="291">
        <v>0</v>
      </c>
      <c r="AB56" s="291">
        <v>0</v>
      </c>
      <c r="AC56" s="292">
        <v>44872627</v>
      </c>
      <c r="AD56" s="291">
        <v>0</v>
      </c>
      <c r="AE56" s="291">
        <v>44872627</v>
      </c>
      <c r="AF56" s="291">
        <v>0</v>
      </c>
      <c r="AG56" s="291">
        <v>0</v>
      </c>
      <c r="AH56" s="292">
        <v>44872627</v>
      </c>
      <c r="AI56" s="291">
        <v>0</v>
      </c>
      <c r="AJ56" s="291">
        <v>44872627</v>
      </c>
      <c r="AK56" s="291">
        <v>0</v>
      </c>
      <c r="AL56" s="291">
        <v>0</v>
      </c>
      <c r="AM56" s="292">
        <v>44872627</v>
      </c>
      <c r="AN56" s="291">
        <v>0</v>
      </c>
      <c r="AO56" s="291">
        <v>44872627</v>
      </c>
      <c r="AP56" s="291">
        <v>0</v>
      </c>
      <c r="AQ56" s="291">
        <v>0</v>
      </c>
      <c r="AR56" s="292">
        <v>44872627</v>
      </c>
      <c r="AS56" s="291">
        <v>0</v>
      </c>
      <c r="AT56" s="291">
        <v>44872626</v>
      </c>
      <c r="AU56" s="291">
        <v>0</v>
      </c>
      <c r="AV56" s="291">
        <v>0</v>
      </c>
      <c r="AW56" s="292">
        <v>44872626</v>
      </c>
      <c r="AX56" s="291">
        <v>0</v>
      </c>
      <c r="AY56" s="291">
        <v>44872625</v>
      </c>
      <c r="AZ56" s="291">
        <v>0</v>
      </c>
      <c r="BA56" s="291">
        <v>0</v>
      </c>
      <c r="BB56" s="292">
        <v>44872625</v>
      </c>
      <c r="BC56" s="291">
        <v>0</v>
      </c>
      <c r="BD56" s="291">
        <v>38954457</v>
      </c>
      <c r="BE56" s="291">
        <v>0</v>
      </c>
      <c r="BF56" s="291">
        <v>0</v>
      </c>
      <c r="BG56" s="292">
        <v>38954457</v>
      </c>
      <c r="BH56" s="291">
        <v>0</v>
      </c>
      <c r="BI56" s="291">
        <v>38954457</v>
      </c>
      <c r="BJ56" s="291">
        <v>0</v>
      </c>
      <c r="BK56" s="291">
        <v>0</v>
      </c>
      <c r="BL56" s="292">
        <v>38954457</v>
      </c>
      <c r="BM56" s="291">
        <v>0</v>
      </c>
      <c r="BN56" s="291">
        <v>38954467</v>
      </c>
      <c r="BO56" s="291">
        <v>0</v>
      </c>
      <c r="BP56" s="291">
        <v>0</v>
      </c>
      <c r="BQ56" s="292">
        <v>38954467</v>
      </c>
      <c r="BR56" s="291">
        <v>0</v>
      </c>
      <c r="BS56" s="291">
        <v>520717021</v>
      </c>
      <c r="BT56" s="291">
        <v>0</v>
      </c>
      <c r="BU56" s="291">
        <v>0</v>
      </c>
      <c r="BV56" s="292">
        <v>520717021</v>
      </c>
      <c r="BW56" s="299"/>
      <c r="BX56" s="296">
        <v>100</v>
      </c>
      <c r="BY56" s="263">
        <v>534743899</v>
      </c>
      <c r="BZ56" s="101">
        <v>0</v>
      </c>
      <c r="CA56" s="330"/>
      <c r="CB56" s="331"/>
    </row>
    <row r="57" spans="1:80" ht="13.5" customHeight="1" x14ac:dyDescent="0.2">
      <c r="A57" s="287" t="s">
        <v>264</v>
      </c>
      <c r="B57" s="329"/>
      <c r="D57" s="326"/>
      <c r="E57" s="291">
        <v>0</v>
      </c>
      <c r="F57" s="291">
        <v>14026878</v>
      </c>
      <c r="G57" s="291">
        <v>0</v>
      </c>
      <c r="H57" s="291">
        <v>0</v>
      </c>
      <c r="I57" s="292">
        <v>14026878</v>
      </c>
      <c r="J57" s="290">
        <v>0</v>
      </c>
      <c r="K57" s="291">
        <v>0</v>
      </c>
      <c r="L57" s="291">
        <v>0</v>
      </c>
      <c r="M57" s="291">
        <v>0</v>
      </c>
      <c r="N57" s="292">
        <v>0</v>
      </c>
      <c r="O57" s="291">
        <v>0</v>
      </c>
      <c r="P57" s="291">
        <v>0</v>
      </c>
      <c r="Q57" s="291">
        <v>0</v>
      </c>
      <c r="R57" s="291">
        <v>0</v>
      </c>
      <c r="S57" s="292">
        <v>0</v>
      </c>
      <c r="T57" s="291">
        <v>0</v>
      </c>
      <c r="U57" s="291">
        <v>0</v>
      </c>
      <c r="V57" s="291">
        <v>0</v>
      </c>
      <c r="W57" s="291">
        <v>0</v>
      </c>
      <c r="X57" s="292">
        <v>0</v>
      </c>
      <c r="Y57" s="291">
        <v>0</v>
      </c>
      <c r="Z57" s="291">
        <v>0</v>
      </c>
      <c r="AA57" s="291">
        <v>0</v>
      </c>
      <c r="AB57" s="291">
        <v>0</v>
      </c>
      <c r="AC57" s="292">
        <v>0</v>
      </c>
      <c r="AD57" s="291">
        <v>0</v>
      </c>
      <c r="AE57" s="291">
        <v>4675628</v>
      </c>
      <c r="AF57" s="291">
        <v>0</v>
      </c>
      <c r="AG57" s="291">
        <v>0</v>
      </c>
      <c r="AH57" s="292">
        <v>4675628</v>
      </c>
      <c r="AI57" s="291">
        <v>0</v>
      </c>
      <c r="AJ57" s="291">
        <v>0</v>
      </c>
      <c r="AK57" s="291">
        <v>0</v>
      </c>
      <c r="AL57" s="291">
        <v>0</v>
      </c>
      <c r="AM57" s="292">
        <v>0</v>
      </c>
      <c r="AN57" s="291">
        <v>0</v>
      </c>
      <c r="AO57" s="291">
        <v>0</v>
      </c>
      <c r="AP57" s="291">
        <v>0</v>
      </c>
      <c r="AQ57" s="291">
        <v>0</v>
      </c>
      <c r="AR57" s="292">
        <v>0</v>
      </c>
      <c r="AS57" s="291">
        <v>0</v>
      </c>
      <c r="AT57" s="291">
        <v>0</v>
      </c>
      <c r="AU57" s="291">
        <v>0</v>
      </c>
      <c r="AV57" s="291">
        <v>0</v>
      </c>
      <c r="AW57" s="292">
        <v>0</v>
      </c>
      <c r="AX57" s="291">
        <v>0</v>
      </c>
      <c r="AY57" s="291">
        <v>4675628</v>
      </c>
      <c r="AZ57" s="291">
        <v>0</v>
      </c>
      <c r="BA57" s="291">
        <v>0</v>
      </c>
      <c r="BB57" s="292">
        <v>4675628</v>
      </c>
      <c r="BC57" s="291">
        <v>0</v>
      </c>
      <c r="BD57" s="291">
        <v>0</v>
      </c>
      <c r="BE57" s="291">
        <v>0</v>
      </c>
      <c r="BF57" s="291">
        <v>0</v>
      </c>
      <c r="BG57" s="292">
        <v>0</v>
      </c>
      <c r="BH57" s="291">
        <v>0</v>
      </c>
      <c r="BI57" s="291">
        <v>0</v>
      </c>
      <c r="BJ57" s="291">
        <v>0</v>
      </c>
      <c r="BK57" s="291">
        <v>0</v>
      </c>
      <c r="BL57" s="292">
        <v>0</v>
      </c>
      <c r="BM57" s="291">
        <v>0</v>
      </c>
      <c r="BN57" s="291">
        <v>4675622</v>
      </c>
      <c r="BO57" s="291">
        <v>0</v>
      </c>
      <c r="BP57" s="291">
        <v>0</v>
      </c>
      <c r="BQ57" s="292">
        <v>4675622</v>
      </c>
      <c r="BR57" s="291">
        <v>0</v>
      </c>
      <c r="BS57" s="291">
        <v>14026878</v>
      </c>
      <c r="BT57" s="291">
        <v>0</v>
      </c>
      <c r="BU57" s="291">
        <v>0</v>
      </c>
      <c r="BV57" s="292">
        <v>14026878</v>
      </c>
      <c r="BW57" s="299"/>
      <c r="BX57" s="296">
        <v>100</v>
      </c>
      <c r="BZ57" s="101"/>
      <c r="CA57" s="330"/>
      <c r="CB57" s="331"/>
    </row>
    <row r="58" spans="1:80" ht="12.75" customHeight="1" x14ac:dyDescent="0.2">
      <c r="A58" s="287" t="s">
        <v>265</v>
      </c>
      <c r="B58" s="329"/>
      <c r="D58" s="316" t="s">
        <v>116</v>
      </c>
      <c r="E58" s="291">
        <v>0</v>
      </c>
      <c r="F58" s="291">
        <v>0</v>
      </c>
      <c r="G58" s="291">
        <v>0</v>
      </c>
      <c r="H58" s="291">
        <v>177615</v>
      </c>
      <c r="I58" s="292">
        <v>177615</v>
      </c>
      <c r="J58" s="290">
        <v>0</v>
      </c>
      <c r="K58" s="291">
        <v>0</v>
      </c>
      <c r="L58" s="291">
        <v>0</v>
      </c>
      <c r="M58" s="291">
        <v>18</v>
      </c>
      <c r="N58" s="292">
        <v>18</v>
      </c>
      <c r="O58" s="291">
        <v>0</v>
      </c>
      <c r="P58" s="291">
        <v>0</v>
      </c>
      <c r="Q58" s="291">
        <v>0</v>
      </c>
      <c r="R58" s="291">
        <v>111334</v>
      </c>
      <c r="S58" s="292">
        <v>111334</v>
      </c>
      <c r="T58" s="291">
        <v>0</v>
      </c>
      <c r="U58" s="291">
        <v>0</v>
      </c>
      <c r="V58" s="291">
        <v>0</v>
      </c>
      <c r="W58" s="291">
        <v>2</v>
      </c>
      <c r="X58" s="292">
        <v>2</v>
      </c>
      <c r="Y58" s="291">
        <v>0</v>
      </c>
      <c r="Z58" s="291">
        <v>0</v>
      </c>
      <c r="AA58" s="291">
        <v>0</v>
      </c>
      <c r="AB58" s="291">
        <v>0</v>
      </c>
      <c r="AC58" s="292">
        <v>0</v>
      </c>
      <c r="AD58" s="291">
        <v>0</v>
      </c>
      <c r="AE58" s="291">
        <v>0</v>
      </c>
      <c r="AF58" s="291">
        <v>0</v>
      </c>
      <c r="AG58" s="291">
        <v>1</v>
      </c>
      <c r="AH58" s="292">
        <v>1</v>
      </c>
      <c r="AI58" s="291">
        <v>0</v>
      </c>
      <c r="AJ58" s="291">
        <v>0</v>
      </c>
      <c r="AK58" s="291">
        <v>0</v>
      </c>
      <c r="AL58" s="291">
        <v>66260</v>
      </c>
      <c r="AM58" s="292">
        <v>66260</v>
      </c>
      <c r="AN58" s="291">
        <v>0</v>
      </c>
      <c r="AO58" s="291">
        <v>0</v>
      </c>
      <c r="AP58" s="291">
        <v>0</v>
      </c>
      <c r="AQ58" s="291">
        <v>260</v>
      </c>
      <c r="AR58" s="292">
        <v>260</v>
      </c>
      <c r="AS58" s="291">
        <v>0</v>
      </c>
      <c r="AT58" s="291">
        <v>0</v>
      </c>
      <c r="AU58" s="291">
        <v>0</v>
      </c>
      <c r="AV58" s="291">
        <v>0</v>
      </c>
      <c r="AW58" s="292">
        <v>0</v>
      </c>
      <c r="AX58" s="291">
        <v>0</v>
      </c>
      <c r="AY58" s="291">
        <v>0</v>
      </c>
      <c r="AZ58" s="291">
        <v>0</v>
      </c>
      <c r="BA58" s="291">
        <v>2</v>
      </c>
      <c r="BB58" s="292">
        <v>2</v>
      </c>
      <c r="BC58" s="291">
        <v>0</v>
      </c>
      <c r="BD58" s="291">
        <v>0</v>
      </c>
      <c r="BE58" s="291">
        <v>0</v>
      </c>
      <c r="BF58" s="291">
        <v>8</v>
      </c>
      <c r="BG58" s="292">
        <v>8</v>
      </c>
      <c r="BH58" s="291">
        <v>0</v>
      </c>
      <c r="BI58" s="291">
        <v>0</v>
      </c>
      <c r="BJ58" s="291">
        <v>0</v>
      </c>
      <c r="BK58" s="291">
        <v>410372</v>
      </c>
      <c r="BL58" s="292">
        <v>410372</v>
      </c>
      <c r="BM58" s="291">
        <v>0</v>
      </c>
      <c r="BN58" s="291">
        <v>0</v>
      </c>
      <c r="BO58" s="291">
        <v>0</v>
      </c>
      <c r="BP58" s="291">
        <v>86</v>
      </c>
      <c r="BQ58" s="292">
        <v>86</v>
      </c>
      <c r="BR58" s="291">
        <v>0</v>
      </c>
      <c r="BS58" s="291">
        <v>0</v>
      </c>
      <c r="BT58" s="291">
        <v>0</v>
      </c>
      <c r="BU58" s="291">
        <v>588343</v>
      </c>
      <c r="BV58" s="292">
        <v>588343</v>
      </c>
      <c r="BW58" s="299"/>
      <c r="BX58" s="296">
        <v>331.24623483376968</v>
      </c>
      <c r="BZ58" s="101"/>
      <c r="CA58" s="330"/>
      <c r="CB58" s="331"/>
    </row>
    <row r="59" spans="1:80" ht="12.75" x14ac:dyDescent="0.2">
      <c r="A59" s="287" t="s">
        <v>266</v>
      </c>
      <c r="B59" s="329"/>
      <c r="D59" s="316"/>
      <c r="E59" s="291">
        <v>0</v>
      </c>
      <c r="F59" s="291">
        <v>120001</v>
      </c>
      <c r="G59" s="291">
        <v>0</v>
      </c>
      <c r="H59" s="291">
        <v>0</v>
      </c>
      <c r="I59" s="292">
        <v>120001</v>
      </c>
      <c r="J59" s="290">
        <v>0</v>
      </c>
      <c r="K59" s="291">
        <v>0</v>
      </c>
      <c r="L59" s="291">
        <v>0</v>
      </c>
      <c r="M59" s="291">
        <v>0</v>
      </c>
      <c r="N59" s="292">
        <v>0</v>
      </c>
      <c r="O59" s="291">
        <v>0</v>
      </c>
      <c r="P59" s="291">
        <v>0</v>
      </c>
      <c r="Q59" s="291">
        <v>0</v>
      </c>
      <c r="R59" s="291">
        <v>0</v>
      </c>
      <c r="S59" s="292">
        <v>0</v>
      </c>
      <c r="T59" s="291">
        <v>0</v>
      </c>
      <c r="U59" s="291">
        <v>40000</v>
      </c>
      <c r="V59" s="291">
        <v>0</v>
      </c>
      <c r="W59" s="291">
        <v>0</v>
      </c>
      <c r="X59" s="292">
        <v>40000</v>
      </c>
      <c r="Y59" s="291">
        <v>0</v>
      </c>
      <c r="Z59" s="291">
        <v>0</v>
      </c>
      <c r="AA59" s="291">
        <v>0</v>
      </c>
      <c r="AB59" s="291">
        <v>0</v>
      </c>
      <c r="AC59" s="292">
        <v>0</v>
      </c>
      <c r="AD59" s="291">
        <v>0</v>
      </c>
      <c r="AE59" s="291">
        <v>0</v>
      </c>
      <c r="AF59" s="291">
        <v>0</v>
      </c>
      <c r="AG59" s="291">
        <v>0</v>
      </c>
      <c r="AH59" s="292">
        <v>0</v>
      </c>
      <c r="AI59" s="291">
        <v>0</v>
      </c>
      <c r="AJ59" s="291">
        <v>30000</v>
      </c>
      <c r="AK59" s="291">
        <v>0</v>
      </c>
      <c r="AL59" s="291">
        <v>0</v>
      </c>
      <c r="AM59" s="292">
        <v>30000</v>
      </c>
      <c r="AN59" s="291">
        <v>0</v>
      </c>
      <c r="AO59" s="291">
        <v>0</v>
      </c>
      <c r="AP59" s="291">
        <v>0</v>
      </c>
      <c r="AQ59" s="291">
        <v>0</v>
      </c>
      <c r="AR59" s="292">
        <v>0</v>
      </c>
      <c r="AS59" s="291">
        <v>0</v>
      </c>
      <c r="AT59" s="291">
        <v>0</v>
      </c>
      <c r="AU59" s="291">
        <v>0</v>
      </c>
      <c r="AV59" s="291">
        <v>0</v>
      </c>
      <c r="AW59" s="292">
        <v>0</v>
      </c>
      <c r="AX59" s="291">
        <v>0</v>
      </c>
      <c r="AY59" s="291">
        <v>0</v>
      </c>
      <c r="AZ59" s="291">
        <v>0</v>
      </c>
      <c r="BA59" s="291">
        <v>0</v>
      </c>
      <c r="BB59" s="292">
        <v>0</v>
      </c>
      <c r="BC59" s="291">
        <v>0</v>
      </c>
      <c r="BD59" s="291">
        <v>0</v>
      </c>
      <c r="BE59" s="291">
        <v>0</v>
      </c>
      <c r="BF59" s="291">
        <v>0</v>
      </c>
      <c r="BG59" s="292">
        <v>0</v>
      </c>
      <c r="BH59" s="291">
        <v>0</v>
      </c>
      <c r="BI59" s="291">
        <v>50000</v>
      </c>
      <c r="BJ59" s="291">
        <v>0</v>
      </c>
      <c r="BK59" s="291">
        <v>0</v>
      </c>
      <c r="BL59" s="292">
        <v>50000</v>
      </c>
      <c r="BM59" s="291">
        <v>0</v>
      </c>
      <c r="BN59" s="291">
        <v>0</v>
      </c>
      <c r="BO59" s="291">
        <v>0</v>
      </c>
      <c r="BP59" s="291">
        <v>0</v>
      </c>
      <c r="BQ59" s="292">
        <v>0</v>
      </c>
      <c r="BR59" s="291">
        <v>0</v>
      </c>
      <c r="BS59" s="291">
        <v>120000</v>
      </c>
      <c r="BT59" s="291">
        <v>0</v>
      </c>
      <c r="BU59" s="291">
        <v>0</v>
      </c>
      <c r="BV59" s="292">
        <v>120000</v>
      </c>
      <c r="BW59" s="299"/>
      <c r="BX59" s="296">
        <v>99.999166673611057</v>
      </c>
      <c r="BZ59" s="101"/>
      <c r="CA59" s="330"/>
      <c r="CB59" s="331"/>
    </row>
    <row r="60" spans="1:80" ht="12.75" x14ac:dyDescent="0.2">
      <c r="A60" s="287" t="s">
        <v>267</v>
      </c>
      <c r="B60" s="329"/>
      <c r="D60" s="316"/>
      <c r="E60" s="291"/>
      <c r="F60" s="291"/>
      <c r="G60" s="291"/>
      <c r="H60" s="291"/>
      <c r="I60" s="292"/>
      <c r="J60" s="291"/>
      <c r="K60" s="291"/>
      <c r="L60" s="291"/>
      <c r="M60" s="291"/>
      <c r="N60" s="292"/>
      <c r="O60" s="291"/>
      <c r="P60" s="291"/>
      <c r="Q60" s="291"/>
      <c r="R60" s="291"/>
      <c r="S60" s="292"/>
      <c r="T60" s="291"/>
      <c r="U60" s="291"/>
      <c r="V60" s="291"/>
      <c r="W60" s="291"/>
      <c r="X60" s="292"/>
      <c r="Y60" s="291"/>
      <c r="Z60" s="291"/>
      <c r="AA60" s="291"/>
      <c r="AB60" s="291"/>
      <c r="AC60" s="74"/>
      <c r="AD60" s="291"/>
      <c r="AE60" s="291"/>
      <c r="AF60" s="291"/>
      <c r="AG60" s="291"/>
      <c r="AH60" s="292"/>
      <c r="AI60" s="291"/>
      <c r="AJ60" s="291"/>
      <c r="AK60" s="291"/>
      <c r="AL60" s="291"/>
      <c r="AM60" s="292"/>
      <c r="AN60" s="291"/>
      <c r="AO60" s="291"/>
      <c r="AP60" s="291"/>
      <c r="AQ60" s="291"/>
      <c r="AR60" s="292"/>
      <c r="AS60" s="291"/>
      <c r="AT60" s="291"/>
      <c r="AU60" s="291"/>
      <c r="AV60" s="291"/>
      <c r="AW60" s="292"/>
      <c r="AX60" s="291"/>
      <c r="AY60" s="291"/>
      <c r="AZ60" s="291"/>
      <c r="BA60" s="291"/>
      <c r="BB60" s="292"/>
      <c r="BC60" s="291"/>
      <c r="BD60" s="291"/>
      <c r="BE60" s="291"/>
      <c r="BF60" s="291"/>
      <c r="BG60" s="292"/>
      <c r="BH60" s="291"/>
      <c r="BI60" s="291"/>
      <c r="BJ60" s="291"/>
      <c r="BK60" s="291"/>
      <c r="BL60" s="292"/>
      <c r="BM60" s="291"/>
      <c r="BN60" s="291"/>
      <c r="BO60" s="291"/>
      <c r="BP60" s="291"/>
      <c r="BQ60" s="292"/>
      <c r="BR60" s="291"/>
      <c r="BS60" s="291"/>
      <c r="BT60" s="291"/>
      <c r="BU60" s="291"/>
      <c r="BV60" s="292"/>
      <c r="BW60" s="299"/>
      <c r="BX60" s="296"/>
      <c r="BZ60" s="101"/>
      <c r="CB60" s="331"/>
    </row>
    <row r="61" spans="1:80" ht="12.75" x14ac:dyDescent="0.2">
      <c r="A61" s="339" t="s">
        <v>268</v>
      </c>
      <c r="B61" s="329"/>
      <c r="D61" s="316" t="s">
        <v>119</v>
      </c>
      <c r="E61" s="291">
        <v>0</v>
      </c>
      <c r="F61" s="291">
        <v>0</v>
      </c>
      <c r="G61" s="291">
        <v>0</v>
      </c>
      <c r="H61" s="291">
        <v>217761</v>
      </c>
      <c r="I61" s="292">
        <v>217761</v>
      </c>
      <c r="J61" s="291">
        <v>0</v>
      </c>
      <c r="K61" s="291">
        <v>0</v>
      </c>
      <c r="L61" s="291">
        <v>0</v>
      </c>
      <c r="M61" s="291">
        <v>0</v>
      </c>
      <c r="N61" s="74">
        <v>0</v>
      </c>
      <c r="O61" s="291">
        <v>0</v>
      </c>
      <c r="P61" s="291">
        <v>0</v>
      </c>
      <c r="Q61" s="291">
        <v>0</v>
      </c>
      <c r="R61" s="291">
        <v>0</v>
      </c>
      <c r="S61" s="74">
        <v>0</v>
      </c>
      <c r="T61" s="291">
        <v>0</v>
      </c>
      <c r="U61" s="291">
        <v>0</v>
      </c>
      <c r="V61" s="291">
        <v>0</v>
      </c>
      <c r="W61" s="291">
        <v>0</v>
      </c>
      <c r="X61" s="74">
        <v>0</v>
      </c>
      <c r="Y61" s="291">
        <v>0</v>
      </c>
      <c r="Z61" s="291">
        <v>0</v>
      </c>
      <c r="AA61" s="291">
        <v>0</v>
      </c>
      <c r="AB61" s="291">
        <v>0</v>
      </c>
      <c r="AC61" s="335">
        <v>0</v>
      </c>
      <c r="AD61" s="291">
        <v>0</v>
      </c>
      <c r="AE61" s="291">
        <v>0</v>
      </c>
      <c r="AF61" s="291">
        <v>0</v>
      </c>
      <c r="AG61" s="291">
        <v>0</v>
      </c>
      <c r="AH61" s="74">
        <v>0</v>
      </c>
      <c r="AI61" s="291">
        <v>0</v>
      </c>
      <c r="AJ61" s="291">
        <v>0</v>
      </c>
      <c r="AK61" s="291">
        <v>0</v>
      </c>
      <c r="AL61" s="291">
        <v>217761</v>
      </c>
      <c r="AM61" s="292">
        <v>217761</v>
      </c>
      <c r="AN61" s="291">
        <v>0</v>
      </c>
      <c r="AO61" s="291">
        <v>0</v>
      </c>
      <c r="AP61" s="291">
        <v>0</v>
      </c>
      <c r="AQ61" s="291">
        <v>0</v>
      </c>
      <c r="AR61" s="74">
        <v>0</v>
      </c>
      <c r="AS61" s="291">
        <v>0</v>
      </c>
      <c r="AT61" s="291">
        <v>0</v>
      </c>
      <c r="AU61" s="291">
        <v>0</v>
      </c>
      <c r="AV61" s="291">
        <v>0</v>
      </c>
      <c r="AW61" s="292">
        <v>0</v>
      </c>
      <c r="AX61" s="291">
        <v>0</v>
      </c>
      <c r="AY61" s="291">
        <v>0</v>
      </c>
      <c r="AZ61" s="291">
        <v>0</v>
      </c>
      <c r="BA61" s="291">
        <v>0</v>
      </c>
      <c r="BB61" s="74">
        <v>0</v>
      </c>
      <c r="BC61" s="291">
        <v>0</v>
      </c>
      <c r="BD61" s="291">
        <v>0</v>
      </c>
      <c r="BE61" s="291">
        <v>0</v>
      </c>
      <c r="BF61" s="291">
        <v>0</v>
      </c>
      <c r="BG61" s="74">
        <v>0</v>
      </c>
      <c r="BH61" s="291">
        <v>0</v>
      </c>
      <c r="BI61" s="291">
        <v>0</v>
      </c>
      <c r="BJ61" s="291">
        <v>0</v>
      </c>
      <c r="BK61" s="291">
        <v>266904</v>
      </c>
      <c r="BL61" s="74">
        <v>266904</v>
      </c>
      <c r="BM61" s="291">
        <v>0</v>
      </c>
      <c r="BN61" s="291">
        <v>0</v>
      </c>
      <c r="BO61" s="291">
        <v>0</v>
      </c>
      <c r="BP61" s="291">
        <v>0</v>
      </c>
      <c r="BQ61" s="74">
        <v>0</v>
      </c>
      <c r="BR61" s="291">
        <v>0</v>
      </c>
      <c r="BS61" s="291">
        <v>0</v>
      </c>
      <c r="BT61" s="291">
        <v>0</v>
      </c>
      <c r="BU61" s="291">
        <v>484665</v>
      </c>
      <c r="BV61" s="292">
        <v>484665</v>
      </c>
      <c r="BW61" s="299"/>
      <c r="BX61" s="296"/>
      <c r="BZ61" s="101"/>
      <c r="CB61" s="331"/>
    </row>
    <row r="62" spans="1:80" ht="12.75" x14ac:dyDescent="0.2">
      <c r="A62" s="271"/>
      <c r="B62" s="329" t="s">
        <v>269</v>
      </c>
      <c r="E62" s="69">
        <v>0</v>
      </c>
      <c r="F62" s="69">
        <v>0</v>
      </c>
      <c r="G62" s="69">
        <v>0</v>
      </c>
      <c r="H62" s="69">
        <v>143395</v>
      </c>
      <c r="I62" s="335">
        <v>143395</v>
      </c>
      <c r="J62" s="336"/>
      <c r="K62" s="69"/>
      <c r="L62" s="69"/>
      <c r="M62" s="69"/>
      <c r="N62" s="335"/>
      <c r="O62" s="69"/>
      <c r="P62" s="69"/>
      <c r="Q62" s="69"/>
      <c r="R62" s="69"/>
      <c r="S62" s="335"/>
      <c r="T62" s="69"/>
      <c r="U62" s="69"/>
      <c r="V62" s="69"/>
      <c r="W62" s="69"/>
      <c r="X62" s="335"/>
      <c r="Y62" s="69"/>
      <c r="Z62" s="69"/>
      <c r="AA62" s="69"/>
      <c r="AB62" s="69"/>
      <c r="AC62" s="335"/>
      <c r="AD62" s="69"/>
      <c r="AE62" s="69"/>
      <c r="AF62" s="69"/>
      <c r="AG62" s="69"/>
      <c r="AH62" s="335"/>
      <c r="AI62" s="69">
        <v>0</v>
      </c>
      <c r="AJ62" s="69">
        <v>0</v>
      </c>
      <c r="AK62" s="69">
        <v>0</v>
      </c>
      <c r="AL62" s="69">
        <v>143395</v>
      </c>
      <c r="AM62" s="335">
        <v>143395</v>
      </c>
      <c r="AN62" s="69">
        <v>0</v>
      </c>
      <c r="AO62" s="69">
        <v>0</v>
      </c>
      <c r="AP62" s="69">
        <v>0</v>
      </c>
      <c r="AQ62" s="69">
        <v>0</v>
      </c>
      <c r="AR62" s="335">
        <v>0</v>
      </c>
      <c r="AS62" s="69">
        <v>0</v>
      </c>
      <c r="AT62" s="69">
        <v>0</v>
      </c>
      <c r="AU62" s="69">
        <v>0</v>
      </c>
      <c r="AV62" s="69">
        <v>0</v>
      </c>
      <c r="AW62" s="292">
        <v>0</v>
      </c>
      <c r="AX62" s="69">
        <v>0</v>
      </c>
      <c r="AY62" s="69">
        <v>0</v>
      </c>
      <c r="AZ62" s="69">
        <v>0</v>
      </c>
      <c r="BA62" s="69">
        <v>0</v>
      </c>
      <c r="BB62" s="335">
        <v>0</v>
      </c>
      <c r="BC62" s="69">
        <v>0</v>
      </c>
      <c r="BD62" s="69">
        <v>0</v>
      </c>
      <c r="BE62" s="69">
        <v>0</v>
      </c>
      <c r="BF62" s="69">
        <v>0</v>
      </c>
      <c r="BG62" s="335">
        <v>0</v>
      </c>
      <c r="BH62" s="69">
        <v>0</v>
      </c>
      <c r="BI62" s="69">
        <v>0</v>
      </c>
      <c r="BJ62" s="69">
        <v>0</v>
      </c>
      <c r="BK62" s="69">
        <v>0</v>
      </c>
      <c r="BL62" s="292">
        <v>0</v>
      </c>
      <c r="BM62" s="69">
        <v>0</v>
      </c>
      <c r="BN62" s="69">
        <v>0</v>
      </c>
      <c r="BO62" s="69">
        <v>0</v>
      </c>
      <c r="BP62" s="69">
        <v>0</v>
      </c>
      <c r="BQ62" s="335">
        <v>0</v>
      </c>
      <c r="BR62" s="69">
        <v>0</v>
      </c>
      <c r="BS62" s="69">
        <v>0</v>
      </c>
      <c r="BT62" s="69">
        <v>0</v>
      </c>
      <c r="BU62" s="69">
        <v>143395</v>
      </c>
      <c r="BV62" s="292">
        <v>143395</v>
      </c>
      <c r="BW62" s="299"/>
      <c r="BX62" s="296"/>
      <c r="BY62" s="263">
        <v>410298</v>
      </c>
      <c r="BZ62" s="101">
        <v>1</v>
      </c>
      <c r="CB62" s="331"/>
    </row>
    <row r="63" spans="1:80" ht="12.75" x14ac:dyDescent="0.2">
      <c r="A63" s="271"/>
      <c r="B63" s="329" t="s">
        <v>270</v>
      </c>
      <c r="E63" s="69">
        <v>0</v>
      </c>
      <c r="F63" s="69">
        <v>0</v>
      </c>
      <c r="G63" s="69">
        <v>0</v>
      </c>
      <c r="H63" s="69">
        <v>0</v>
      </c>
      <c r="I63" s="335">
        <v>0</v>
      </c>
      <c r="J63" s="336"/>
      <c r="K63" s="69"/>
      <c r="L63" s="69"/>
      <c r="M63" s="69"/>
      <c r="N63" s="335"/>
      <c r="O63" s="69"/>
      <c r="P63" s="69"/>
      <c r="Q63" s="69"/>
      <c r="R63" s="69"/>
      <c r="S63" s="335"/>
      <c r="T63" s="69"/>
      <c r="U63" s="69"/>
      <c r="V63" s="69"/>
      <c r="W63" s="69"/>
      <c r="X63" s="335"/>
      <c r="Y63" s="69"/>
      <c r="Z63" s="69"/>
      <c r="AA63" s="69"/>
      <c r="AB63" s="69"/>
      <c r="AC63" s="335"/>
      <c r="AD63" s="69"/>
      <c r="AE63" s="69"/>
      <c r="AF63" s="69"/>
      <c r="AG63" s="69"/>
      <c r="AH63" s="335"/>
      <c r="AI63" s="69"/>
      <c r="AJ63" s="69"/>
      <c r="AK63" s="69"/>
      <c r="AL63" s="69"/>
      <c r="AM63" s="335"/>
      <c r="AN63" s="69"/>
      <c r="AO63" s="69"/>
      <c r="AP63" s="69"/>
      <c r="AQ63" s="69"/>
      <c r="AR63" s="335"/>
      <c r="AS63" s="69"/>
      <c r="AT63" s="69"/>
      <c r="AU63" s="69"/>
      <c r="AV63" s="69"/>
      <c r="AW63" s="292"/>
      <c r="AX63" s="69"/>
      <c r="AY63" s="69"/>
      <c r="AZ63" s="69"/>
      <c r="BA63" s="69"/>
      <c r="BB63" s="335"/>
      <c r="BC63" s="69"/>
      <c r="BD63" s="69"/>
      <c r="BE63" s="69"/>
      <c r="BF63" s="69"/>
      <c r="BG63" s="335"/>
      <c r="BH63" s="69"/>
      <c r="BI63" s="69"/>
      <c r="BJ63" s="69"/>
      <c r="BK63" s="69">
        <v>266904</v>
      </c>
      <c r="BL63" s="292">
        <v>266904</v>
      </c>
      <c r="BM63" s="69">
        <v>0</v>
      </c>
      <c r="BN63" s="69">
        <v>0</v>
      </c>
      <c r="BO63" s="69">
        <v>0</v>
      </c>
      <c r="BP63" s="69">
        <v>0</v>
      </c>
      <c r="BQ63" s="335">
        <v>0</v>
      </c>
      <c r="BR63" s="69"/>
      <c r="BS63" s="69"/>
      <c r="BT63" s="69"/>
      <c r="BU63" s="69">
        <f>410299-143395</f>
        <v>266904</v>
      </c>
      <c r="BV63" s="292">
        <v>266904</v>
      </c>
      <c r="BW63" s="299"/>
      <c r="BX63" s="296"/>
      <c r="BZ63" s="101"/>
      <c r="CB63" s="331"/>
    </row>
    <row r="64" spans="1:80" ht="12.75" x14ac:dyDescent="0.2">
      <c r="A64" s="287"/>
      <c r="B64" s="262" t="s">
        <v>271</v>
      </c>
      <c r="D64" s="316"/>
      <c r="E64" s="69">
        <v>0</v>
      </c>
      <c r="F64" s="69">
        <v>0</v>
      </c>
      <c r="G64" s="69">
        <v>0</v>
      </c>
      <c r="H64" s="69">
        <v>74366</v>
      </c>
      <c r="I64" s="335">
        <v>74366</v>
      </c>
      <c r="J64" s="336">
        <v>0</v>
      </c>
      <c r="K64" s="69">
        <v>0</v>
      </c>
      <c r="L64" s="69">
        <v>0</v>
      </c>
      <c r="M64" s="69">
        <v>0</v>
      </c>
      <c r="N64" s="335">
        <v>0</v>
      </c>
      <c r="O64" s="69">
        <v>0</v>
      </c>
      <c r="P64" s="69">
        <v>0</v>
      </c>
      <c r="Q64" s="69">
        <v>0</v>
      </c>
      <c r="R64" s="69">
        <v>0</v>
      </c>
      <c r="S64" s="335">
        <v>0</v>
      </c>
      <c r="T64" s="69">
        <v>0</v>
      </c>
      <c r="U64" s="69">
        <v>0</v>
      </c>
      <c r="V64" s="69">
        <v>0</v>
      </c>
      <c r="W64" s="69">
        <v>0</v>
      </c>
      <c r="X64" s="335">
        <v>0</v>
      </c>
      <c r="Y64" s="69">
        <v>0</v>
      </c>
      <c r="Z64" s="69">
        <v>0</v>
      </c>
      <c r="AA64" s="69">
        <v>0</v>
      </c>
      <c r="AB64" s="69">
        <v>0</v>
      </c>
      <c r="AC64" s="74">
        <v>0</v>
      </c>
      <c r="AD64" s="69">
        <v>0</v>
      </c>
      <c r="AE64" s="69">
        <v>0</v>
      </c>
      <c r="AF64" s="69">
        <v>0</v>
      </c>
      <c r="AG64" s="69">
        <v>0</v>
      </c>
      <c r="AH64" s="335">
        <v>0</v>
      </c>
      <c r="AI64" s="69">
        <v>0</v>
      </c>
      <c r="AJ64" s="69">
        <v>0</v>
      </c>
      <c r="AK64" s="69">
        <v>0</v>
      </c>
      <c r="AL64" s="69">
        <v>74366</v>
      </c>
      <c r="AM64" s="335">
        <v>74366</v>
      </c>
      <c r="AN64" s="69">
        <v>0</v>
      </c>
      <c r="AO64" s="69">
        <v>0</v>
      </c>
      <c r="AP64" s="69">
        <v>0</v>
      </c>
      <c r="AQ64" s="69">
        <v>0</v>
      </c>
      <c r="AR64" s="335">
        <v>0</v>
      </c>
      <c r="AS64" s="69">
        <v>0</v>
      </c>
      <c r="AT64" s="69">
        <v>0</v>
      </c>
      <c r="AU64" s="69">
        <v>0</v>
      </c>
      <c r="AV64" s="69">
        <v>0</v>
      </c>
      <c r="AW64" s="335">
        <v>0</v>
      </c>
      <c r="AX64" s="69">
        <v>0</v>
      </c>
      <c r="AY64" s="69">
        <v>0</v>
      </c>
      <c r="AZ64" s="69">
        <v>0</v>
      </c>
      <c r="BA64" s="69">
        <v>0</v>
      </c>
      <c r="BB64" s="335">
        <v>0</v>
      </c>
      <c r="BC64" s="69">
        <v>0</v>
      </c>
      <c r="BD64" s="69">
        <v>0</v>
      </c>
      <c r="BE64" s="69">
        <v>0</v>
      </c>
      <c r="BF64" s="69">
        <v>0</v>
      </c>
      <c r="BG64" s="335">
        <v>0</v>
      </c>
      <c r="BH64" s="69">
        <v>0</v>
      </c>
      <c r="BI64" s="69">
        <v>0</v>
      </c>
      <c r="BJ64" s="69">
        <v>0</v>
      </c>
      <c r="BK64" s="69">
        <v>0</v>
      </c>
      <c r="BL64" s="292">
        <v>0</v>
      </c>
      <c r="BM64" s="69">
        <v>0</v>
      </c>
      <c r="BN64" s="69">
        <v>0</v>
      </c>
      <c r="BO64" s="69">
        <v>0</v>
      </c>
      <c r="BP64" s="69">
        <v>0</v>
      </c>
      <c r="BQ64" s="335">
        <v>0</v>
      </c>
      <c r="BR64" s="69">
        <v>0</v>
      </c>
      <c r="BS64" s="69">
        <v>0</v>
      </c>
      <c r="BT64" s="69">
        <v>0</v>
      </c>
      <c r="BU64" s="69">
        <v>74366</v>
      </c>
      <c r="BV64" s="292">
        <v>74366</v>
      </c>
      <c r="BW64" s="299"/>
      <c r="BX64" s="296"/>
      <c r="BZ64" s="101"/>
      <c r="CA64" s="330"/>
      <c r="CB64" s="331"/>
    </row>
    <row r="65" spans="1:80" ht="12.75" hidden="1" x14ac:dyDescent="0.2">
      <c r="A65" s="339" t="s">
        <v>272</v>
      </c>
      <c r="B65" s="329"/>
      <c r="D65" s="316" t="s">
        <v>156</v>
      </c>
      <c r="E65" s="291">
        <v>0</v>
      </c>
      <c r="F65" s="291">
        <v>0</v>
      </c>
      <c r="G65" s="291">
        <v>0</v>
      </c>
      <c r="H65" s="291">
        <v>0</v>
      </c>
      <c r="I65" s="292">
        <v>0</v>
      </c>
      <c r="J65" s="291">
        <v>0</v>
      </c>
      <c r="K65" s="291">
        <v>0</v>
      </c>
      <c r="L65" s="291">
        <v>0</v>
      </c>
      <c r="M65" s="291">
        <v>0</v>
      </c>
      <c r="N65" s="74">
        <v>0</v>
      </c>
      <c r="O65" s="291">
        <v>0</v>
      </c>
      <c r="P65" s="291">
        <v>0</v>
      </c>
      <c r="Q65" s="291">
        <v>0</v>
      </c>
      <c r="R65" s="291">
        <v>0</v>
      </c>
      <c r="S65" s="74">
        <v>0</v>
      </c>
      <c r="T65" s="291">
        <v>0</v>
      </c>
      <c r="U65" s="291">
        <v>0</v>
      </c>
      <c r="V65" s="291">
        <v>0</v>
      </c>
      <c r="W65" s="291">
        <v>0</v>
      </c>
      <c r="X65" s="74">
        <v>0</v>
      </c>
      <c r="Y65" s="291">
        <v>0</v>
      </c>
      <c r="Z65" s="291">
        <v>0</v>
      </c>
      <c r="AA65" s="291">
        <v>0</v>
      </c>
      <c r="AB65" s="291">
        <v>0</v>
      </c>
      <c r="AC65" s="292">
        <v>0</v>
      </c>
      <c r="AD65" s="291">
        <v>0</v>
      </c>
      <c r="AE65" s="291">
        <v>0</v>
      </c>
      <c r="AF65" s="291">
        <v>0</v>
      </c>
      <c r="AG65" s="291">
        <v>0</v>
      </c>
      <c r="AH65" s="74">
        <v>0</v>
      </c>
      <c r="AI65" s="291">
        <v>0</v>
      </c>
      <c r="AJ65" s="291">
        <v>0</v>
      </c>
      <c r="AK65" s="291">
        <v>0</v>
      </c>
      <c r="AL65" s="291">
        <v>6571667</v>
      </c>
      <c r="AM65" s="292">
        <v>6571667</v>
      </c>
      <c r="AN65" s="291">
        <v>0</v>
      </c>
      <c r="AO65" s="291">
        <v>0</v>
      </c>
      <c r="AP65" s="291">
        <v>0</v>
      </c>
      <c r="AQ65" s="291">
        <v>0</v>
      </c>
      <c r="AR65" s="74">
        <v>0</v>
      </c>
      <c r="AS65" s="291">
        <v>0</v>
      </c>
      <c r="AT65" s="291">
        <v>0</v>
      </c>
      <c r="AU65" s="291">
        <v>0</v>
      </c>
      <c r="AV65" s="291">
        <v>0</v>
      </c>
      <c r="AW65" s="74">
        <v>0</v>
      </c>
      <c r="AX65" s="291">
        <v>0</v>
      </c>
      <c r="AY65" s="291">
        <v>0</v>
      </c>
      <c r="AZ65" s="291">
        <v>0</v>
      </c>
      <c r="BA65" s="291">
        <v>-6571667</v>
      </c>
      <c r="BB65" s="74">
        <v>-6571667</v>
      </c>
      <c r="BC65" s="291">
        <v>0</v>
      </c>
      <c r="BD65" s="291">
        <v>0</v>
      </c>
      <c r="BE65" s="291">
        <v>0</v>
      </c>
      <c r="BF65" s="291">
        <v>0</v>
      </c>
      <c r="BG65" s="74">
        <v>0</v>
      </c>
      <c r="BH65" s="291">
        <v>0</v>
      </c>
      <c r="BI65" s="291">
        <v>0</v>
      </c>
      <c r="BJ65" s="291">
        <v>0</v>
      </c>
      <c r="BK65" s="291">
        <v>0</v>
      </c>
      <c r="BL65" s="292">
        <v>0</v>
      </c>
      <c r="BM65" s="291">
        <v>0</v>
      </c>
      <c r="BN65" s="291">
        <v>0</v>
      </c>
      <c r="BO65" s="291">
        <v>0</v>
      </c>
      <c r="BP65" s="291">
        <v>0</v>
      </c>
      <c r="BQ65" s="74">
        <v>0</v>
      </c>
      <c r="BR65" s="291">
        <v>0</v>
      </c>
      <c r="BS65" s="291">
        <v>0</v>
      </c>
      <c r="BT65" s="291">
        <v>0</v>
      </c>
      <c r="BU65" s="291">
        <v>0</v>
      </c>
      <c r="BV65" s="292">
        <v>0</v>
      </c>
      <c r="BW65" s="299"/>
      <c r="BX65" s="296"/>
      <c r="BZ65" s="101"/>
      <c r="CA65" s="330"/>
      <c r="CB65" s="331"/>
    </row>
    <row r="66" spans="1:80" ht="12.75" hidden="1" x14ac:dyDescent="0.2">
      <c r="A66" s="287"/>
      <c r="B66" s="329" t="s">
        <v>29</v>
      </c>
      <c r="D66" s="316"/>
      <c r="E66" s="291">
        <v>0</v>
      </c>
      <c r="F66" s="291">
        <v>0</v>
      </c>
      <c r="G66" s="291">
        <v>0</v>
      </c>
      <c r="H66" s="291">
        <v>0</v>
      </c>
      <c r="I66" s="292">
        <v>0</v>
      </c>
      <c r="J66" s="290"/>
      <c r="K66" s="291"/>
      <c r="L66" s="291"/>
      <c r="M66" s="291"/>
      <c r="N66" s="292"/>
      <c r="O66" s="291"/>
      <c r="P66" s="291"/>
      <c r="Q66" s="291"/>
      <c r="R66" s="291"/>
      <c r="S66" s="292"/>
      <c r="T66" s="291"/>
      <c r="U66" s="291"/>
      <c r="V66" s="291"/>
      <c r="W66" s="291"/>
      <c r="X66" s="292"/>
      <c r="Y66" s="291"/>
      <c r="Z66" s="291"/>
      <c r="AA66" s="291"/>
      <c r="AB66" s="291"/>
      <c r="AC66" s="292"/>
      <c r="AD66" s="291"/>
      <c r="AE66" s="291"/>
      <c r="AF66" s="291"/>
      <c r="AG66" s="291"/>
      <c r="AH66" s="292"/>
      <c r="AI66" s="291">
        <v>0</v>
      </c>
      <c r="AJ66" s="291">
        <v>0</v>
      </c>
      <c r="AK66" s="291">
        <v>0</v>
      </c>
      <c r="AL66" s="291">
        <v>6571667</v>
      </c>
      <c r="AM66" s="292">
        <v>6571667</v>
      </c>
      <c r="AN66" s="291">
        <v>0</v>
      </c>
      <c r="AO66" s="291">
        <v>0</v>
      </c>
      <c r="AP66" s="291">
        <v>0</v>
      </c>
      <c r="AQ66" s="291">
        <v>0</v>
      </c>
      <c r="AR66" s="292">
        <v>0</v>
      </c>
      <c r="AS66" s="291">
        <v>0</v>
      </c>
      <c r="AT66" s="291">
        <v>0</v>
      </c>
      <c r="AU66" s="291">
        <v>0</v>
      </c>
      <c r="AV66" s="291">
        <v>0</v>
      </c>
      <c r="AW66" s="292">
        <v>0</v>
      </c>
      <c r="AX66" s="291">
        <v>0</v>
      </c>
      <c r="AY66" s="291">
        <v>0</v>
      </c>
      <c r="AZ66" s="291">
        <v>0</v>
      </c>
      <c r="BA66" s="291">
        <v>-6571667</v>
      </c>
      <c r="BB66" s="292">
        <v>-6571667</v>
      </c>
      <c r="BC66" s="291"/>
      <c r="BD66" s="291"/>
      <c r="BE66" s="291"/>
      <c r="BF66" s="291"/>
      <c r="BG66" s="292"/>
      <c r="BH66" s="291"/>
      <c r="BI66" s="291"/>
      <c r="BJ66" s="291"/>
      <c r="BK66" s="291"/>
      <c r="BL66" s="292">
        <v>0</v>
      </c>
      <c r="BM66" s="291"/>
      <c r="BN66" s="291"/>
      <c r="BO66" s="291"/>
      <c r="BP66" s="291"/>
      <c r="BQ66" s="292"/>
      <c r="BR66" s="69">
        <v>0</v>
      </c>
      <c r="BS66" s="69">
        <v>0</v>
      </c>
      <c r="BT66" s="69">
        <v>0</v>
      </c>
      <c r="BU66" s="69">
        <v>0</v>
      </c>
      <c r="BV66" s="335">
        <v>0</v>
      </c>
      <c r="BW66" s="299"/>
      <c r="BX66" s="296"/>
      <c r="BZ66" s="101"/>
      <c r="CA66" s="330"/>
      <c r="CB66" s="331"/>
    </row>
    <row r="67" spans="1:80" ht="12.75" x14ac:dyDescent="0.2">
      <c r="A67" s="287" t="s">
        <v>273</v>
      </c>
      <c r="B67" s="329"/>
      <c r="C67" s="329"/>
      <c r="D67" s="326"/>
      <c r="E67" s="291">
        <v>0</v>
      </c>
      <c r="F67" s="291">
        <v>10174611</v>
      </c>
      <c r="G67" s="291">
        <v>0</v>
      </c>
      <c r="H67" s="291">
        <v>0</v>
      </c>
      <c r="I67" s="292">
        <v>10174611</v>
      </c>
      <c r="J67" s="290">
        <v>0</v>
      </c>
      <c r="K67" s="291">
        <v>1745798</v>
      </c>
      <c r="L67" s="291">
        <v>0</v>
      </c>
      <c r="M67" s="291">
        <v>0</v>
      </c>
      <c r="N67" s="292">
        <v>1745798</v>
      </c>
      <c r="O67" s="291">
        <v>0</v>
      </c>
      <c r="P67" s="291">
        <v>1447692</v>
      </c>
      <c r="Q67" s="291">
        <v>0</v>
      </c>
      <c r="R67" s="291">
        <v>0</v>
      </c>
      <c r="S67" s="292">
        <v>1447692</v>
      </c>
      <c r="T67" s="291">
        <v>0</v>
      </c>
      <c r="U67" s="291">
        <v>1118322</v>
      </c>
      <c r="V67" s="291">
        <v>0</v>
      </c>
      <c r="W67" s="291">
        <v>0</v>
      </c>
      <c r="X67" s="292">
        <v>1118322</v>
      </c>
      <c r="Y67" s="291">
        <v>0</v>
      </c>
      <c r="Z67" s="291">
        <v>54518</v>
      </c>
      <c r="AA67" s="291">
        <v>0</v>
      </c>
      <c r="AB67" s="291">
        <v>0</v>
      </c>
      <c r="AC67" s="292">
        <v>54518</v>
      </c>
      <c r="AD67" s="291">
        <v>0</v>
      </c>
      <c r="AE67" s="291">
        <v>92107</v>
      </c>
      <c r="AF67" s="291">
        <v>0</v>
      </c>
      <c r="AG67" s="291">
        <v>0</v>
      </c>
      <c r="AH67" s="292">
        <v>92107</v>
      </c>
      <c r="AI67" s="291">
        <v>0</v>
      </c>
      <c r="AJ67" s="291">
        <v>75474</v>
      </c>
      <c r="AK67" s="291">
        <v>0</v>
      </c>
      <c r="AL67" s="291">
        <v>0</v>
      </c>
      <c r="AM67" s="292">
        <v>75474</v>
      </c>
      <c r="AN67" s="291">
        <v>0</v>
      </c>
      <c r="AO67" s="291">
        <v>169312</v>
      </c>
      <c r="AP67" s="291">
        <v>0</v>
      </c>
      <c r="AQ67" s="291">
        <v>0</v>
      </c>
      <c r="AR67" s="292">
        <v>169312</v>
      </c>
      <c r="AS67" s="291">
        <v>0</v>
      </c>
      <c r="AT67" s="291">
        <v>1460680</v>
      </c>
      <c r="AU67" s="291">
        <v>0</v>
      </c>
      <c r="AV67" s="291">
        <v>0</v>
      </c>
      <c r="AW67" s="292">
        <v>1460680</v>
      </c>
      <c r="AX67" s="291">
        <v>0</v>
      </c>
      <c r="AY67" s="291">
        <v>1486244</v>
      </c>
      <c r="AZ67" s="291">
        <v>0</v>
      </c>
      <c r="BA67" s="291">
        <v>0</v>
      </c>
      <c r="BB67" s="292">
        <v>1486244</v>
      </c>
      <c r="BC67" s="291">
        <v>0</v>
      </c>
      <c r="BD67" s="291">
        <v>1665558</v>
      </c>
      <c r="BE67" s="291">
        <v>0</v>
      </c>
      <c r="BF67" s="291">
        <v>0</v>
      </c>
      <c r="BG67" s="292">
        <v>1665558</v>
      </c>
      <c r="BH67" s="291">
        <v>0</v>
      </c>
      <c r="BI67" s="291">
        <v>1635698</v>
      </c>
      <c r="BJ67" s="291">
        <v>0</v>
      </c>
      <c r="BK67" s="291">
        <v>0</v>
      </c>
      <c r="BL67" s="292">
        <v>1635698</v>
      </c>
      <c r="BM67" s="291">
        <v>0</v>
      </c>
      <c r="BN67" s="291">
        <v>1461571</v>
      </c>
      <c r="BO67" s="291">
        <v>0</v>
      </c>
      <c r="BP67" s="291">
        <v>0</v>
      </c>
      <c r="BQ67" s="292">
        <v>1461571</v>
      </c>
      <c r="BR67" s="291">
        <v>0</v>
      </c>
      <c r="BS67" s="291">
        <v>12412974</v>
      </c>
      <c r="BT67" s="291">
        <v>0</v>
      </c>
      <c r="BU67" s="291">
        <v>0</v>
      </c>
      <c r="BV67" s="292">
        <v>12412974</v>
      </c>
      <c r="BW67" s="299"/>
      <c r="BX67" s="296">
        <v>121.99949462441364</v>
      </c>
      <c r="BY67" s="263">
        <v>12412974</v>
      </c>
      <c r="BZ67" s="101">
        <v>0</v>
      </c>
      <c r="CA67" s="330"/>
      <c r="CB67" s="331"/>
    </row>
    <row r="68" spans="1:80" ht="12.75" x14ac:dyDescent="0.2">
      <c r="A68" s="287" t="s">
        <v>274</v>
      </c>
      <c r="B68" s="329"/>
      <c r="D68" s="326"/>
      <c r="E68" s="291">
        <v>2364318</v>
      </c>
      <c r="F68" s="291">
        <v>78141</v>
      </c>
      <c r="G68" s="291">
        <v>0</v>
      </c>
      <c r="H68" s="291">
        <v>0</v>
      </c>
      <c r="I68" s="292">
        <v>2442459</v>
      </c>
      <c r="J68" s="290">
        <v>183244</v>
      </c>
      <c r="K68" s="291">
        <v>2943</v>
      </c>
      <c r="L68" s="291">
        <v>0</v>
      </c>
      <c r="M68" s="291">
        <v>0</v>
      </c>
      <c r="N68" s="292">
        <v>186187</v>
      </c>
      <c r="O68" s="291">
        <v>176962</v>
      </c>
      <c r="P68" s="291">
        <v>2357</v>
      </c>
      <c r="Q68" s="291">
        <v>0</v>
      </c>
      <c r="R68" s="291">
        <v>0</v>
      </c>
      <c r="S68" s="292">
        <v>179319</v>
      </c>
      <c r="T68" s="291">
        <v>170758</v>
      </c>
      <c r="U68" s="291">
        <v>3390</v>
      </c>
      <c r="V68" s="291">
        <v>0</v>
      </c>
      <c r="W68" s="291">
        <v>0</v>
      </c>
      <c r="X68" s="292">
        <v>174148</v>
      </c>
      <c r="Y68" s="291">
        <v>172932</v>
      </c>
      <c r="Z68" s="291">
        <v>2942</v>
      </c>
      <c r="AA68" s="291">
        <v>0</v>
      </c>
      <c r="AB68" s="291">
        <v>0</v>
      </c>
      <c r="AC68" s="292">
        <v>175874</v>
      </c>
      <c r="AD68" s="291">
        <v>174882</v>
      </c>
      <c r="AE68" s="291">
        <v>1456</v>
      </c>
      <c r="AF68" s="291">
        <v>0</v>
      </c>
      <c r="AG68" s="291">
        <v>0</v>
      </c>
      <c r="AH68" s="292">
        <v>176338</v>
      </c>
      <c r="AI68" s="291">
        <v>176606</v>
      </c>
      <c r="AJ68" s="291">
        <v>5120</v>
      </c>
      <c r="AK68" s="291">
        <v>0</v>
      </c>
      <c r="AL68" s="291">
        <v>0</v>
      </c>
      <c r="AM68" s="292">
        <v>181726</v>
      </c>
      <c r="AN68" s="291">
        <v>174450</v>
      </c>
      <c r="AO68" s="291">
        <v>2043</v>
      </c>
      <c r="AP68" s="291">
        <v>0</v>
      </c>
      <c r="AQ68" s="291">
        <v>0</v>
      </c>
      <c r="AR68" s="292">
        <v>176493</v>
      </c>
      <c r="AS68" s="291">
        <v>175730</v>
      </c>
      <c r="AT68" s="291">
        <v>4459</v>
      </c>
      <c r="AU68" s="291">
        <v>0</v>
      </c>
      <c r="AV68" s="291">
        <v>0</v>
      </c>
      <c r="AW68" s="292">
        <v>180189</v>
      </c>
      <c r="AX68" s="291">
        <v>176605</v>
      </c>
      <c r="AY68" s="291">
        <v>2114</v>
      </c>
      <c r="AZ68" s="291">
        <v>0</v>
      </c>
      <c r="BA68" s="291">
        <v>0</v>
      </c>
      <c r="BB68" s="292">
        <v>178719</v>
      </c>
      <c r="BC68" s="291">
        <v>172324</v>
      </c>
      <c r="BD68" s="291">
        <v>5394</v>
      </c>
      <c r="BE68" s="291">
        <v>0</v>
      </c>
      <c r="BF68" s="291">
        <v>0</v>
      </c>
      <c r="BG68" s="292">
        <v>177718</v>
      </c>
      <c r="BH68" s="291">
        <v>173332</v>
      </c>
      <c r="BI68" s="291">
        <v>3193</v>
      </c>
      <c r="BJ68" s="291">
        <v>0</v>
      </c>
      <c r="BK68" s="291">
        <v>0</v>
      </c>
      <c r="BL68" s="292">
        <v>176525</v>
      </c>
      <c r="BM68" s="291">
        <v>176975</v>
      </c>
      <c r="BN68" s="291">
        <v>6859</v>
      </c>
      <c r="BO68" s="291">
        <v>0</v>
      </c>
      <c r="BP68" s="291">
        <v>0</v>
      </c>
      <c r="BQ68" s="292">
        <v>183834</v>
      </c>
      <c r="BR68" s="291">
        <v>2104800</v>
      </c>
      <c r="BS68" s="291">
        <v>42270</v>
      </c>
      <c r="BT68" s="291">
        <v>0</v>
      </c>
      <c r="BU68" s="291">
        <v>0</v>
      </c>
      <c r="BV68" s="292">
        <v>2147070</v>
      </c>
      <c r="BW68" s="299"/>
      <c r="BX68" s="296">
        <v>87.906081535043171</v>
      </c>
      <c r="BY68" s="263">
        <v>2147070</v>
      </c>
      <c r="BZ68" s="101">
        <v>0</v>
      </c>
      <c r="CA68" s="330"/>
      <c r="CB68" s="331"/>
    </row>
    <row r="69" spans="1:80" ht="12.75" x14ac:dyDescent="0.2">
      <c r="A69" s="302" t="s">
        <v>275</v>
      </c>
      <c r="B69" s="340"/>
      <c r="D69" s="326"/>
      <c r="E69" s="291">
        <v>991212</v>
      </c>
      <c r="F69" s="291">
        <v>126719</v>
      </c>
      <c r="G69" s="291">
        <v>0</v>
      </c>
      <c r="H69" s="291">
        <v>0</v>
      </c>
      <c r="I69" s="292">
        <v>1117931</v>
      </c>
      <c r="J69" s="290">
        <v>76516</v>
      </c>
      <c r="K69" s="291">
        <v>6553</v>
      </c>
      <c r="L69" s="291">
        <v>0</v>
      </c>
      <c r="M69" s="291">
        <v>0</v>
      </c>
      <c r="N69" s="292">
        <v>83069</v>
      </c>
      <c r="O69" s="291">
        <v>79279</v>
      </c>
      <c r="P69" s="291">
        <v>201</v>
      </c>
      <c r="Q69" s="291">
        <v>0</v>
      </c>
      <c r="R69" s="291">
        <v>0</v>
      </c>
      <c r="S69" s="292">
        <v>79480</v>
      </c>
      <c r="T69" s="291">
        <v>87330</v>
      </c>
      <c r="U69" s="291">
        <v>15499</v>
      </c>
      <c r="V69" s="291">
        <v>0</v>
      </c>
      <c r="W69" s="291">
        <v>0</v>
      </c>
      <c r="X69" s="292">
        <v>102829</v>
      </c>
      <c r="Y69" s="291">
        <v>75484</v>
      </c>
      <c r="Z69" s="291">
        <v>5571</v>
      </c>
      <c r="AA69" s="291">
        <v>0</v>
      </c>
      <c r="AB69" s="291">
        <v>0</v>
      </c>
      <c r="AC69" s="292">
        <v>81055</v>
      </c>
      <c r="AD69" s="291">
        <v>85469</v>
      </c>
      <c r="AE69" s="291">
        <v>10643</v>
      </c>
      <c r="AF69" s="291">
        <v>0</v>
      </c>
      <c r="AG69" s="291">
        <v>0</v>
      </c>
      <c r="AH69" s="292">
        <v>96112</v>
      </c>
      <c r="AI69" s="291">
        <v>81309</v>
      </c>
      <c r="AJ69" s="291">
        <v>3830</v>
      </c>
      <c r="AK69" s="291">
        <v>0</v>
      </c>
      <c r="AL69" s="291">
        <v>0</v>
      </c>
      <c r="AM69" s="292">
        <v>85139</v>
      </c>
      <c r="AN69" s="291">
        <v>80327</v>
      </c>
      <c r="AO69" s="291">
        <v>1763</v>
      </c>
      <c r="AP69" s="291">
        <v>0</v>
      </c>
      <c r="AQ69" s="291">
        <v>0</v>
      </c>
      <c r="AR69" s="292">
        <v>82090</v>
      </c>
      <c r="AS69" s="291">
        <v>84943</v>
      </c>
      <c r="AT69" s="291">
        <v>279</v>
      </c>
      <c r="AU69" s="291">
        <v>0</v>
      </c>
      <c r="AV69" s="291">
        <v>0</v>
      </c>
      <c r="AW69" s="292">
        <v>85222</v>
      </c>
      <c r="AX69" s="291">
        <v>78836</v>
      </c>
      <c r="AY69" s="291">
        <v>9051</v>
      </c>
      <c r="AZ69" s="291">
        <v>0</v>
      </c>
      <c r="BA69" s="291">
        <v>0</v>
      </c>
      <c r="BB69" s="292">
        <v>87887</v>
      </c>
      <c r="BC69" s="291">
        <v>77178</v>
      </c>
      <c r="BD69" s="291">
        <v>7809</v>
      </c>
      <c r="BE69" s="291">
        <v>0</v>
      </c>
      <c r="BF69" s="291">
        <v>0</v>
      </c>
      <c r="BG69" s="292">
        <v>84987</v>
      </c>
      <c r="BH69" s="291">
        <v>83404</v>
      </c>
      <c r="BI69" s="291">
        <v>280</v>
      </c>
      <c r="BJ69" s="291">
        <v>0</v>
      </c>
      <c r="BK69" s="291">
        <v>0</v>
      </c>
      <c r="BL69" s="292">
        <v>83684</v>
      </c>
      <c r="BM69" s="291">
        <v>83241</v>
      </c>
      <c r="BN69" s="291">
        <v>8891</v>
      </c>
      <c r="BO69" s="291">
        <v>0</v>
      </c>
      <c r="BP69" s="291">
        <v>228</v>
      </c>
      <c r="BQ69" s="292">
        <v>92360</v>
      </c>
      <c r="BR69" s="291">
        <v>973316</v>
      </c>
      <c r="BS69" s="291">
        <v>70370</v>
      </c>
      <c r="BT69" s="291">
        <v>0</v>
      </c>
      <c r="BU69" s="291">
        <v>228</v>
      </c>
      <c r="BV69" s="292">
        <v>1043914</v>
      </c>
      <c r="BW69" s="299"/>
      <c r="BX69" s="296">
        <v>93.379108370731288</v>
      </c>
      <c r="BY69" s="263">
        <v>1043914</v>
      </c>
      <c r="BZ69" s="101">
        <v>0</v>
      </c>
      <c r="CA69" s="330"/>
      <c r="CB69" s="331"/>
    </row>
    <row r="70" spans="1:80" ht="12.75" x14ac:dyDescent="0.2">
      <c r="A70" s="341" t="s">
        <v>276</v>
      </c>
      <c r="B70" s="342"/>
      <c r="C70" s="313"/>
      <c r="D70" s="314"/>
      <c r="E70" s="291">
        <v>0</v>
      </c>
      <c r="F70" s="291">
        <v>10997</v>
      </c>
      <c r="G70" s="291">
        <v>0</v>
      </c>
      <c r="H70" s="291">
        <v>0</v>
      </c>
      <c r="I70" s="292">
        <v>10997</v>
      </c>
      <c r="J70" s="290">
        <v>0</v>
      </c>
      <c r="K70" s="291">
        <v>0</v>
      </c>
      <c r="L70" s="291">
        <v>0</v>
      </c>
      <c r="M70" s="291">
        <v>0</v>
      </c>
      <c r="N70" s="292">
        <v>0</v>
      </c>
      <c r="O70" s="291">
        <v>0</v>
      </c>
      <c r="P70" s="291">
        <v>0</v>
      </c>
      <c r="Q70" s="291">
        <v>0</v>
      </c>
      <c r="R70" s="291">
        <v>0</v>
      </c>
      <c r="S70" s="292">
        <v>0</v>
      </c>
      <c r="T70" s="291">
        <v>0</v>
      </c>
      <c r="U70" s="291">
        <v>0</v>
      </c>
      <c r="V70" s="291">
        <v>0</v>
      </c>
      <c r="W70" s="291">
        <v>0</v>
      </c>
      <c r="X70" s="292">
        <v>0</v>
      </c>
      <c r="Y70" s="291">
        <v>0</v>
      </c>
      <c r="Z70" s="291">
        <v>0</v>
      </c>
      <c r="AA70" s="291">
        <v>0</v>
      </c>
      <c r="AB70" s="291">
        <v>0</v>
      </c>
      <c r="AC70" s="292">
        <v>0</v>
      </c>
      <c r="AD70" s="291">
        <v>0</v>
      </c>
      <c r="AE70" s="291">
        <v>0</v>
      </c>
      <c r="AF70" s="291">
        <v>0</v>
      </c>
      <c r="AG70" s="291">
        <v>0</v>
      </c>
      <c r="AH70" s="292">
        <v>0</v>
      </c>
      <c r="AI70" s="291">
        <v>0</v>
      </c>
      <c r="AJ70" s="291">
        <v>0</v>
      </c>
      <c r="AK70" s="291">
        <v>0</v>
      </c>
      <c r="AL70" s="291">
        <v>0</v>
      </c>
      <c r="AM70" s="292">
        <v>0</v>
      </c>
      <c r="AN70" s="291">
        <v>0</v>
      </c>
      <c r="AO70" s="291">
        <v>0</v>
      </c>
      <c r="AP70" s="291">
        <v>0</v>
      </c>
      <c r="AQ70" s="291">
        <v>0</v>
      </c>
      <c r="AR70" s="292">
        <v>0</v>
      </c>
      <c r="AS70" s="291">
        <v>0</v>
      </c>
      <c r="AT70" s="291">
        <v>0</v>
      </c>
      <c r="AU70" s="291">
        <v>0</v>
      </c>
      <c r="AV70" s="291">
        <v>0</v>
      </c>
      <c r="AW70" s="292">
        <v>0</v>
      </c>
      <c r="AX70" s="291">
        <v>0</v>
      </c>
      <c r="AY70" s="291">
        <v>0</v>
      </c>
      <c r="AZ70" s="291">
        <v>0</v>
      </c>
      <c r="BA70" s="291">
        <v>0</v>
      </c>
      <c r="BB70" s="292">
        <v>0</v>
      </c>
      <c r="BC70" s="291">
        <v>0</v>
      </c>
      <c r="BD70" s="291">
        <v>0</v>
      </c>
      <c r="BE70" s="291">
        <v>0</v>
      </c>
      <c r="BF70" s="291">
        <v>0</v>
      </c>
      <c r="BG70" s="292">
        <v>0</v>
      </c>
      <c r="BH70" s="291">
        <v>0</v>
      </c>
      <c r="BI70" s="291">
        <v>0</v>
      </c>
      <c r="BJ70" s="291">
        <v>0</v>
      </c>
      <c r="BK70" s="291">
        <v>0</v>
      </c>
      <c r="BL70" s="292">
        <v>0</v>
      </c>
      <c r="BM70" s="291">
        <v>0</v>
      </c>
      <c r="BN70" s="291">
        <v>0</v>
      </c>
      <c r="BO70" s="291">
        <v>0</v>
      </c>
      <c r="BP70" s="291">
        <v>0</v>
      </c>
      <c r="BQ70" s="292">
        <v>0</v>
      </c>
      <c r="BR70" s="291">
        <v>0</v>
      </c>
      <c r="BS70" s="291">
        <v>0</v>
      </c>
      <c r="BT70" s="291">
        <v>0</v>
      </c>
      <c r="BU70" s="291">
        <v>0</v>
      </c>
      <c r="BV70" s="292">
        <v>0</v>
      </c>
      <c r="BW70" s="299"/>
      <c r="BX70" s="296">
        <v>0</v>
      </c>
      <c r="BZ70" s="268"/>
    </row>
    <row r="71" spans="1:80" ht="12.75" x14ac:dyDescent="0.2">
      <c r="A71" s="284" t="s">
        <v>277</v>
      </c>
      <c r="B71" s="288"/>
      <c r="D71" s="326"/>
      <c r="E71" s="317">
        <v>236867517</v>
      </c>
      <c r="F71" s="318">
        <v>545254368</v>
      </c>
      <c r="G71" s="318">
        <v>0</v>
      </c>
      <c r="H71" s="318">
        <v>395376</v>
      </c>
      <c r="I71" s="343">
        <v>782517261</v>
      </c>
      <c r="J71" s="344">
        <v>4458960.4269999983</v>
      </c>
      <c r="K71" s="345">
        <v>46627921</v>
      </c>
      <c r="L71" s="345">
        <v>0</v>
      </c>
      <c r="M71" s="345">
        <v>18</v>
      </c>
      <c r="N71" s="343">
        <v>51086899.427000001</v>
      </c>
      <c r="O71" s="345">
        <v>2045938.1300000001</v>
      </c>
      <c r="P71" s="345">
        <v>46322877</v>
      </c>
      <c r="Q71" s="345">
        <v>0</v>
      </c>
      <c r="R71" s="345">
        <v>111334</v>
      </c>
      <c r="S71" s="343">
        <v>48480149.129999995</v>
      </c>
      <c r="T71" s="344">
        <v>23587962</v>
      </c>
      <c r="U71" s="345">
        <v>46049838</v>
      </c>
      <c r="V71" s="345">
        <v>0</v>
      </c>
      <c r="W71" s="345">
        <v>2</v>
      </c>
      <c r="X71" s="343">
        <v>69637802</v>
      </c>
      <c r="Y71" s="344">
        <v>34084402</v>
      </c>
      <c r="Z71" s="345">
        <v>44935658</v>
      </c>
      <c r="AA71" s="345">
        <v>0</v>
      </c>
      <c r="AB71" s="345">
        <v>0</v>
      </c>
      <c r="AC71" s="343">
        <v>79020060</v>
      </c>
      <c r="AD71" s="344">
        <v>32891479.123</v>
      </c>
      <c r="AE71" s="345">
        <v>49652461</v>
      </c>
      <c r="AF71" s="345">
        <v>0</v>
      </c>
      <c r="AG71" s="345">
        <v>1</v>
      </c>
      <c r="AH71" s="344">
        <v>82543941.122999996</v>
      </c>
      <c r="AI71" s="344">
        <v>21020357.242999993</v>
      </c>
      <c r="AJ71" s="345">
        <v>44987051</v>
      </c>
      <c r="AK71" s="345">
        <v>0</v>
      </c>
      <c r="AL71" s="345">
        <v>6855688</v>
      </c>
      <c r="AM71" s="344">
        <v>72863096.243000001</v>
      </c>
      <c r="AN71" s="344">
        <v>3891478.963</v>
      </c>
      <c r="AO71" s="345">
        <v>45045745</v>
      </c>
      <c r="AP71" s="345">
        <v>0</v>
      </c>
      <c r="AQ71" s="346">
        <v>260</v>
      </c>
      <c r="AR71" s="344">
        <v>48937483.963</v>
      </c>
      <c r="AS71" s="345">
        <v>2545556.0049999994</v>
      </c>
      <c r="AT71" s="345">
        <v>46338044</v>
      </c>
      <c r="AU71" s="345">
        <v>0</v>
      </c>
      <c r="AV71" s="345">
        <v>0</v>
      </c>
      <c r="AW71" s="344">
        <v>48883600.004999995</v>
      </c>
      <c r="AX71" s="345">
        <v>23803257</v>
      </c>
      <c r="AY71" s="345">
        <v>51045662</v>
      </c>
      <c r="AZ71" s="345">
        <v>0</v>
      </c>
      <c r="BA71" s="345">
        <v>-6571665</v>
      </c>
      <c r="BB71" s="343">
        <v>68277254</v>
      </c>
      <c r="BC71" s="345">
        <v>33985624.236999996</v>
      </c>
      <c r="BD71" s="345">
        <v>40633218</v>
      </c>
      <c r="BE71" s="345">
        <v>0</v>
      </c>
      <c r="BF71" s="345">
        <v>8</v>
      </c>
      <c r="BG71" s="343">
        <v>74618850.236999989</v>
      </c>
      <c r="BH71" s="345">
        <v>32392853.975989994</v>
      </c>
      <c r="BI71" s="345">
        <v>40643628</v>
      </c>
      <c r="BJ71" s="345">
        <v>0</v>
      </c>
      <c r="BK71" s="345">
        <v>677276</v>
      </c>
      <c r="BL71" s="343">
        <v>73713757.975989997</v>
      </c>
      <c r="BM71" s="345">
        <v>21448079</v>
      </c>
      <c r="BN71" s="345">
        <v>45107410</v>
      </c>
      <c r="BO71" s="345">
        <v>0</v>
      </c>
      <c r="BP71" s="345">
        <v>314</v>
      </c>
      <c r="BQ71" s="343">
        <v>66555803</v>
      </c>
      <c r="BR71" s="344">
        <v>236155948.10398999</v>
      </c>
      <c r="BS71" s="345">
        <v>547389513</v>
      </c>
      <c r="BT71" s="345">
        <v>0</v>
      </c>
      <c r="BU71" s="345">
        <v>1073236</v>
      </c>
      <c r="BV71" s="347">
        <v>784618697.10398996</v>
      </c>
      <c r="BW71" s="348"/>
      <c r="BX71" s="296">
        <v>100.2685482108477</v>
      </c>
    </row>
    <row r="72" spans="1:80" ht="12.75" x14ac:dyDescent="0.2">
      <c r="A72" s="349" t="s">
        <v>208</v>
      </c>
      <c r="B72" s="350"/>
      <c r="C72" s="351"/>
      <c r="D72" s="352"/>
      <c r="E72" s="353">
        <v>491355682</v>
      </c>
      <c r="F72" s="353">
        <v>1213632781</v>
      </c>
      <c r="G72" s="353">
        <v>14835462</v>
      </c>
      <c r="H72" s="353">
        <v>88043073</v>
      </c>
      <c r="I72" s="354">
        <v>1807866998</v>
      </c>
      <c r="J72" s="355">
        <v>22081532.426999997</v>
      </c>
      <c r="K72" s="355">
        <v>91841244</v>
      </c>
      <c r="L72" s="355">
        <v>324568</v>
      </c>
      <c r="M72" s="355">
        <v>4853</v>
      </c>
      <c r="N72" s="356">
        <v>114252197.427</v>
      </c>
      <c r="O72" s="353">
        <v>21313327.129999999</v>
      </c>
      <c r="P72" s="353">
        <v>97185042</v>
      </c>
      <c r="Q72" s="353">
        <v>861947</v>
      </c>
      <c r="R72" s="353">
        <v>1115210</v>
      </c>
      <c r="S72" s="356">
        <v>120475526.13</v>
      </c>
      <c r="T72" s="353">
        <v>42064414</v>
      </c>
      <c r="U72" s="353">
        <v>88294246</v>
      </c>
      <c r="V72" s="353">
        <v>15761</v>
      </c>
      <c r="W72" s="353">
        <v>475863</v>
      </c>
      <c r="X72" s="356">
        <v>130850284</v>
      </c>
      <c r="Y72" s="355">
        <v>52873403</v>
      </c>
      <c r="Z72" s="355">
        <v>140177743</v>
      </c>
      <c r="AA72" s="355">
        <v>518145</v>
      </c>
      <c r="AB72" s="355">
        <v>3806670</v>
      </c>
      <c r="AC72" s="356">
        <v>197375961</v>
      </c>
      <c r="AD72" s="355">
        <v>52348326.122999996</v>
      </c>
      <c r="AE72" s="355">
        <v>107273151</v>
      </c>
      <c r="AF72" s="355">
        <v>905002</v>
      </c>
      <c r="AG72" s="355">
        <v>5002463</v>
      </c>
      <c r="AH72" s="356">
        <v>165528942.123</v>
      </c>
      <c r="AI72" s="355">
        <v>40737320.242999993</v>
      </c>
      <c r="AJ72" s="355">
        <v>97067140</v>
      </c>
      <c r="AK72" s="355">
        <v>867648</v>
      </c>
      <c r="AL72" s="355">
        <v>9873949</v>
      </c>
      <c r="AM72" s="354">
        <v>148546057.243</v>
      </c>
      <c r="AN72" s="355">
        <v>24371761.963</v>
      </c>
      <c r="AO72" s="355">
        <v>105316823</v>
      </c>
      <c r="AP72" s="355">
        <v>1268269</v>
      </c>
      <c r="AQ72" s="355">
        <v>2002991</v>
      </c>
      <c r="AR72" s="354">
        <v>132959844.963</v>
      </c>
      <c r="AS72" s="355">
        <v>22685857.004999999</v>
      </c>
      <c r="AT72" s="355">
        <v>93267975</v>
      </c>
      <c r="AU72" s="355">
        <v>886111</v>
      </c>
      <c r="AV72" s="355">
        <v>3781537</v>
      </c>
      <c r="AW72" s="354">
        <v>120621480.005</v>
      </c>
      <c r="AX72" s="355">
        <v>43789410</v>
      </c>
      <c r="AY72" s="355">
        <v>116638516</v>
      </c>
      <c r="AZ72" s="355">
        <v>775078</v>
      </c>
      <c r="BA72" s="355">
        <v>10116371</v>
      </c>
      <c r="BB72" s="356">
        <v>171319375</v>
      </c>
      <c r="BC72" s="355">
        <v>52379477.236999996</v>
      </c>
      <c r="BD72" s="355">
        <v>80461364</v>
      </c>
      <c r="BE72" s="355">
        <v>568295</v>
      </c>
      <c r="BF72" s="355">
        <v>30302684</v>
      </c>
      <c r="BG72" s="356">
        <v>163711820.23699999</v>
      </c>
      <c r="BH72" s="355">
        <v>52350704.975989997</v>
      </c>
      <c r="BI72" s="355">
        <v>78272818</v>
      </c>
      <c r="BJ72" s="355">
        <v>1118619</v>
      </c>
      <c r="BK72" s="355">
        <v>13833836</v>
      </c>
      <c r="BL72" s="356">
        <v>145575977.97599</v>
      </c>
      <c r="BM72" s="355">
        <v>48466717</v>
      </c>
      <c r="BN72" s="355">
        <v>118580694</v>
      </c>
      <c r="BO72" s="355">
        <v>3324534</v>
      </c>
      <c r="BP72" s="355">
        <v>6403377</v>
      </c>
      <c r="BQ72" s="356">
        <v>176775322</v>
      </c>
      <c r="BR72" s="355">
        <v>475462251.10398996</v>
      </c>
      <c r="BS72" s="355">
        <v>1214376756</v>
      </c>
      <c r="BT72" s="355">
        <v>11433977</v>
      </c>
      <c r="BU72" s="355">
        <v>86719804</v>
      </c>
      <c r="BV72" s="357">
        <v>1787992788.1039901</v>
      </c>
      <c r="BW72" s="348"/>
      <c r="BX72" s="296">
        <v>98.900681857791739</v>
      </c>
    </row>
    <row r="73" spans="1:80" ht="12.75" hidden="1" x14ac:dyDescent="0.2">
      <c r="A73" s="321"/>
      <c r="B73" s="288"/>
      <c r="D73" s="316"/>
      <c r="E73" s="294"/>
      <c r="F73" s="294"/>
      <c r="G73" s="294"/>
      <c r="H73" s="294"/>
      <c r="I73" s="358"/>
      <c r="J73" s="294"/>
      <c r="K73" s="294"/>
      <c r="L73" s="294"/>
      <c r="M73" s="294"/>
      <c r="N73" s="292"/>
      <c r="O73" s="294"/>
      <c r="P73" s="294"/>
      <c r="Q73" s="294"/>
      <c r="R73" s="294"/>
      <c r="S73" s="292"/>
      <c r="T73" s="294"/>
      <c r="U73" s="294"/>
      <c r="V73" s="294"/>
      <c r="W73" s="294"/>
      <c r="X73" s="292"/>
      <c r="Y73" s="294"/>
      <c r="Z73" s="294"/>
      <c r="AA73" s="294"/>
      <c r="AB73" s="294"/>
      <c r="AC73" s="292"/>
      <c r="AD73" s="294"/>
      <c r="AE73" s="294"/>
      <c r="AF73" s="294"/>
      <c r="AG73" s="294"/>
      <c r="AH73" s="292"/>
      <c r="AI73" s="294"/>
      <c r="AJ73" s="294"/>
      <c r="AK73" s="294"/>
      <c r="AL73" s="294"/>
      <c r="AM73" s="358"/>
      <c r="AN73" s="294"/>
      <c r="AO73" s="294"/>
      <c r="AP73" s="294"/>
      <c r="AQ73" s="294"/>
      <c r="AR73" s="358"/>
      <c r="AS73" s="294"/>
      <c r="AT73" s="294"/>
      <c r="AU73" s="294"/>
      <c r="AV73" s="294"/>
      <c r="AW73" s="292"/>
      <c r="AX73" s="294"/>
      <c r="AY73" s="294"/>
      <c r="AZ73" s="294"/>
      <c r="BA73" s="294"/>
      <c r="BB73" s="292"/>
      <c r="BC73" s="294"/>
      <c r="BD73" s="294"/>
      <c r="BE73" s="294"/>
      <c r="BF73" s="294"/>
      <c r="BG73" s="292"/>
      <c r="BH73" s="294"/>
      <c r="BI73" s="294"/>
      <c r="BJ73" s="294"/>
      <c r="BK73" s="294"/>
      <c r="BL73" s="292"/>
      <c r="BM73" s="294"/>
      <c r="BN73" s="294"/>
      <c r="BO73" s="294"/>
      <c r="BP73" s="294"/>
      <c r="BQ73" s="292"/>
      <c r="BR73" s="294"/>
      <c r="BS73" s="294"/>
      <c r="BT73" s="294"/>
      <c r="BU73" s="294"/>
      <c r="BV73" s="359"/>
      <c r="BW73" s="245"/>
      <c r="BX73" s="296"/>
    </row>
    <row r="74" spans="1:80" ht="12.75" x14ac:dyDescent="0.2">
      <c r="A74" s="321" t="s">
        <v>34</v>
      </c>
      <c r="B74" s="288"/>
      <c r="D74" s="326"/>
      <c r="E74" s="294">
        <v>0</v>
      </c>
      <c r="F74" s="294">
        <v>0</v>
      </c>
      <c r="G74" s="294">
        <v>0</v>
      </c>
      <c r="H74" s="294">
        <v>0</v>
      </c>
      <c r="I74" s="292">
        <v>-3692917</v>
      </c>
      <c r="J74" s="294">
        <v>0</v>
      </c>
      <c r="K74" s="294">
        <v>0</v>
      </c>
      <c r="L74" s="294">
        <v>0</v>
      </c>
      <c r="M74" s="294">
        <v>0</v>
      </c>
      <c r="N74" s="292">
        <v>0</v>
      </c>
      <c r="O74" s="294">
        <v>0</v>
      </c>
      <c r="P74" s="294">
        <v>0</v>
      </c>
      <c r="Q74" s="294">
        <v>0</v>
      </c>
      <c r="R74" s="294">
        <v>0</v>
      </c>
      <c r="S74" s="292">
        <v>0</v>
      </c>
      <c r="T74" s="294">
        <v>0</v>
      </c>
      <c r="U74" s="294">
        <v>0</v>
      </c>
      <c r="V74" s="294">
        <v>0</v>
      </c>
      <c r="W74" s="294">
        <v>0</v>
      </c>
      <c r="X74" s="292">
        <v>0</v>
      </c>
      <c r="Y74" s="294">
        <v>0</v>
      </c>
      <c r="Z74" s="294">
        <v>0</v>
      </c>
      <c r="AA74" s="294">
        <v>0</v>
      </c>
      <c r="AB74" s="294">
        <v>0</v>
      </c>
      <c r="AC74" s="292">
        <v>0</v>
      </c>
      <c r="AD74" s="294">
        <v>0</v>
      </c>
      <c r="AE74" s="294">
        <v>0</v>
      </c>
      <c r="AF74" s="294">
        <v>0</v>
      </c>
      <c r="AG74" s="294">
        <v>0</v>
      </c>
      <c r="AH74" s="292">
        <v>0</v>
      </c>
      <c r="AI74" s="294">
        <v>0</v>
      </c>
      <c r="AJ74" s="294">
        <v>0</v>
      </c>
      <c r="AK74" s="294">
        <v>0</v>
      </c>
      <c r="AL74" s="294">
        <v>0</v>
      </c>
      <c r="AM74" s="292">
        <v>0</v>
      </c>
      <c r="AN74" s="294">
        <v>0</v>
      </c>
      <c r="AO74" s="294">
        <v>0</v>
      </c>
      <c r="AP74" s="294">
        <v>0</v>
      </c>
      <c r="AQ74" s="294">
        <v>0</v>
      </c>
      <c r="AR74" s="292">
        <v>0</v>
      </c>
      <c r="AS74" s="294">
        <v>0</v>
      </c>
      <c r="AT74" s="294">
        <v>0</v>
      </c>
      <c r="AU74" s="294">
        <v>0</v>
      </c>
      <c r="AV74" s="294">
        <v>0</v>
      </c>
      <c r="AW74" s="292">
        <v>0</v>
      </c>
      <c r="AX74" s="294">
        <v>0</v>
      </c>
      <c r="AY74" s="294">
        <v>0</v>
      </c>
      <c r="AZ74" s="294">
        <v>0</v>
      </c>
      <c r="BA74" s="294">
        <v>0</v>
      </c>
      <c r="BB74" s="292">
        <v>0</v>
      </c>
      <c r="BC74" s="294">
        <v>0</v>
      </c>
      <c r="BD74" s="294">
        <v>0</v>
      </c>
      <c r="BE74" s="294">
        <v>0</v>
      </c>
      <c r="BF74" s="294">
        <v>0</v>
      </c>
      <c r="BG74" s="292">
        <v>0</v>
      </c>
      <c r="BH74" s="294">
        <v>0</v>
      </c>
      <c r="BI74" s="294">
        <v>0</v>
      </c>
      <c r="BJ74" s="294">
        <v>0</v>
      </c>
      <c r="BK74" s="294">
        <v>0</v>
      </c>
      <c r="BL74" s="292">
        <v>0</v>
      </c>
      <c r="BM74" s="294">
        <v>0</v>
      </c>
      <c r="BN74" s="294">
        <v>0</v>
      </c>
      <c r="BO74" s="294">
        <v>0</v>
      </c>
      <c r="BP74" s="294">
        <v>0</v>
      </c>
      <c r="BQ74" s="292">
        <v>0</v>
      </c>
      <c r="BR74" s="294">
        <v>0</v>
      </c>
      <c r="BS74" s="294">
        <v>0</v>
      </c>
      <c r="BT74" s="294">
        <v>0</v>
      </c>
      <c r="BU74" s="294">
        <v>0</v>
      </c>
      <c r="BV74" s="360">
        <v>0</v>
      </c>
      <c r="BW74" s="245"/>
      <c r="BX74" s="296">
        <v>0</v>
      </c>
    </row>
    <row r="75" spans="1:80" ht="12.75" x14ac:dyDescent="0.2">
      <c r="A75" s="361" t="s">
        <v>278</v>
      </c>
      <c r="B75" s="362"/>
      <c r="C75" s="363"/>
      <c r="D75" s="364"/>
      <c r="E75" s="345">
        <v>491355682</v>
      </c>
      <c r="F75" s="345">
        <v>1213632781</v>
      </c>
      <c r="G75" s="345">
        <v>14835462</v>
      </c>
      <c r="H75" s="345">
        <v>88043073</v>
      </c>
      <c r="I75" s="343">
        <v>1804174081</v>
      </c>
      <c r="J75" s="345">
        <v>22081532.426999997</v>
      </c>
      <c r="K75" s="345">
        <v>91841244</v>
      </c>
      <c r="L75" s="345">
        <v>324568</v>
      </c>
      <c r="M75" s="345">
        <v>4853</v>
      </c>
      <c r="N75" s="343">
        <v>114252197.427</v>
      </c>
      <c r="O75" s="345">
        <v>21313327.129999999</v>
      </c>
      <c r="P75" s="345">
        <v>97185042</v>
      </c>
      <c r="Q75" s="345">
        <v>861947</v>
      </c>
      <c r="R75" s="345">
        <v>1115210</v>
      </c>
      <c r="S75" s="343">
        <v>120475526.13</v>
      </c>
      <c r="T75" s="345">
        <v>42064414</v>
      </c>
      <c r="U75" s="345">
        <v>88294246</v>
      </c>
      <c r="V75" s="345">
        <v>15761</v>
      </c>
      <c r="W75" s="345">
        <v>475863</v>
      </c>
      <c r="X75" s="343">
        <v>130850284</v>
      </c>
      <c r="Y75" s="345">
        <v>52873403</v>
      </c>
      <c r="Z75" s="345">
        <v>140177743</v>
      </c>
      <c r="AA75" s="345">
        <v>518145</v>
      </c>
      <c r="AB75" s="345">
        <v>3806670</v>
      </c>
      <c r="AC75" s="343">
        <v>197375961</v>
      </c>
      <c r="AD75" s="345">
        <v>52348326.122999996</v>
      </c>
      <c r="AE75" s="345">
        <v>107273151</v>
      </c>
      <c r="AF75" s="345">
        <v>905002</v>
      </c>
      <c r="AG75" s="345">
        <v>5002463</v>
      </c>
      <c r="AH75" s="343">
        <v>165528942.123</v>
      </c>
      <c r="AI75" s="345">
        <v>40737320.242999993</v>
      </c>
      <c r="AJ75" s="345">
        <v>97067140</v>
      </c>
      <c r="AK75" s="345">
        <v>867648</v>
      </c>
      <c r="AL75" s="345">
        <v>9873949</v>
      </c>
      <c r="AM75" s="343">
        <v>148546057.243</v>
      </c>
      <c r="AN75" s="345">
        <v>24371761.963</v>
      </c>
      <c r="AO75" s="345">
        <v>105316823</v>
      </c>
      <c r="AP75" s="345">
        <v>1268269</v>
      </c>
      <c r="AQ75" s="345">
        <v>2002991</v>
      </c>
      <c r="AR75" s="343">
        <v>132959844.963</v>
      </c>
      <c r="AS75" s="345">
        <v>22685857.004999999</v>
      </c>
      <c r="AT75" s="345">
        <v>93267975</v>
      </c>
      <c r="AU75" s="345">
        <v>886111</v>
      </c>
      <c r="AV75" s="345">
        <v>3781537</v>
      </c>
      <c r="AW75" s="343">
        <v>120621480.005</v>
      </c>
      <c r="AX75" s="345">
        <v>43789410</v>
      </c>
      <c r="AY75" s="345">
        <v>116638516</v>
      </c>
      <c r="AZ75" s="345">
        <v>775078</v>
      </c>
      <c r="BA75" s="345">
        <v>10116371</v>
      </c>
      <c r="BB75" s="343">
        <v>171319375</v>
      </c>
      <c r="BC75" s="345">
        <v>52379477.236999996</v>
      </c>
      <c r="BD75" s="345">
        <v>80461364</v>
      </c>
      <c r="BE75" s="345">
        <v>568295</v>
      </c>
      <c r="BF75" s="345">
        <v>30302684</v>
      </c>
      <c r="BG75" s="343">
        <v>163711820.23699999</v>
      </c>
      <c r="BH75" s="345">
        <v>52350704.975989997</v>
      </c>
      <c r="BI75" s="345">
        <v>78272818</v>
      </c>
      <c r="BJ75" s="345">
        <v>1118619</v>
      </c>
      <c r="BK75" s="345">
        <v>13833836</v>
      </c>
      <c r="BL75" s="343">
        <v>145575977.97599</v>
      </c>
      <c r="BM75" s="345">
        <v>48466717</v>
      </c>
      <c r="BN75" s="345">
        <v>118580694</v>
      </c>
      <c r="BO75" s="345">
        <v>3324534</v>
      </c>
      <c r="BP75" s="345">
        <v>6403377</v>
      </c>
      <c r="BQ75" s="343">
        <v>176775322</v>
      </c>
      <c r="BR75" s="345">
        <v>475462251.10398996</v>
      </c>
      <c r="BS75" s="345">
        <v>1214376756</v>
      </c>
      <c r="BT75" s="345">
        <v>11433977</v>
      </c>
      <c r="BU75" s="345">
        <v>86719804</v>
      </c>
      <c r="BV75" s="347">
        <v>1787992788.1039901</v>
      </c>
      <c r="BW75" s="365"/>
      <c r="BX75" s="296">
        <v>99.103119091088971</v>
      </c>
    </row>
    <row r="76" spans="1:80" ht="12.75" x14ac:dyDescent="0.2">
      <c r="A76" s="334" t="s">
        <v>279</v>
      </c>
      <c r="B76" s="366"/>
      <c r="C76" s="366"/>
      <c r="D76" s="366"/>
      <c r="E76" s="366"/>
      <c r="F76" s="366"/>
      <c r="G76" s="366"/>
      <c r="H76" s="366"/>
      <c r="I76" s="367"/>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X76" s="296"/>
    </row>
    <row r="77" spans="1:80" ht="12.75" x14ac:dyDescent="0.2">
      <c r="A77" s="334" t="s">
        <v>280</v>
      </c>
      <c r="B77" s="366"/>
      <c r="C77" s="366"/>
      <c r="D77" s="366"/>
      <c r="E77" s="366"/>
      <c r="F77" s="366"/>
      <c r="G77" s="366"/>
      <c r="H77" s="366"/>
      <c r="I77" s="367"/>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X77" s="296"/>
    </row>
    <row r="78" spans="1:80" ht="12.75" x14ac:dyDescent="0.2">
      <c r="A78" s="334" t="s">
        <v>281</v>
      </c>
      <c r="B78" s="366"/>
      <c r="C78" s="366"/>
      <c r="D78" s="366"/>
      <c r="E78" s="366"/>
      <c r="F78" s="366"/>
      <c r="G78" s="366"/>
      <c r="H78" s="366"/>
      <c r="I78" s="367"/>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c r="BX78" s="296"/>
    </row>
    <row r="79" spans="1:80" ht="12.75" x14ac:dyDescent="0.2">
      <c r="A79" s="334" t="s">
        <v>282</v>
      </c>
      <c r="B79" s="366"/>
      <c r="C79" s="366"/>
      <c r="D79" s="366"/>
      <c r="E79" s="366"/>
      <c r="F79" s="366"/>
      <c r="G79" s="366"/>
      <c r="H79" s="366"/>
      <c r="I79" s="367"/>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X79" s="296"/>
    </row>
    <row r="80" spans="1:80" ht="12.75" hidden="1" x14ac:dyDescent="0.2">
      <c r="A80" s="334" t="s">
        <v>283</v>
      </c>
      <c r="B80" s="366"/>
      <c r="C80" s="366"/>
      <c r="D80" s="366"/>
      <c r="E80" s="366"/>
      <c r="F80" s="366"/>
      <c r="G80" s="366"/>
      <c r="H80" s="366"/>
      <c r="I80" s="367"/>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X80" s="296"/>
    </row>
    <row r="81" spans="1:76" ht="12.75" x14ac:dyDescent="0.2">
      <c r="A81" s="334" t="s">
        <v>284</v>
      </c>
      <c r="B81" s="334"/>
      <c r="C81" s="334"/>
      <c r="D81" s="334"/>
      <c r="E81" s="334"/>
      <c r="F81" s="334"/>
      <c r="G81" s="334"/>
      <c r="H81" s="334"/>
      <c r="I81" s="24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c r="BX81" s="296"/>
    </row>
    <row r="82" spans="1:76" ht="12.75" x14ac:dyDescent="0.2">
      <c r="A82" s="334"/>
      <c r="B82" s="366"/>
      <c r="C82" s="366"/>
      <c r="D82" s="366"/>
      <c r="E82" s="366"/>
      <c r="F82" s="366"/>
      <c r="G82" s="366"/>
      <c r="H82" s="366"/>
      <c r="I82" s="367"/>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X82" s="296"/>
    </row>
    <row r="83" spans="1:76" ht="12.75" x14ac:dyDescent="0.2">
      <c r="I83" s="323"/>
      <c r="AS83" s="245"/>
      <c r="BX83" s="296"/>
    </row>
    <row r="84" spans="1:76" ht="12.75" x14ac:dyDescent="0.2">
      <c r="BX84" s="296"/>
    </row>
    <row r="85" spans="1:76" ht="12.75" x14ac:dyDescent="0.2">
      <c r="B85" s="301"/>
      <c r="C85" s="288"/>
      <c r="D85" s="288"/>
      <c r="E85" s="368"/>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X85" s="296"/>
    </row>
    <row r="86" spans="1:76" ht="12.75" x14ac:dyDescent="0.2">
      <c r="B86" s="301"/>
      <c r="C86" s="288"/>
      <c r="D86" s="288"/>
      <c r="E86" s="368"/>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5"/>
      <c r="BU86" s="325"/>
      <c r="BV86" s="325"/>
      <c r="BX86" s="296"/>
    </row>
    <row r="87" spans="1:76" ht="12.75" x14ac:dyDescent="0.2">
      <c r="B87" s="301"/>
      <c r="C87" s="288"/>
      <c r="D87" s="288"/>
      <c r="E87" s="368"/>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c r="BX87" s="296"/>
    </row>
    <row r="88" spans="1:76" ht="12.75" x14ac:dyDescent="0.2">
      <c r="B88" s="301"/>
      <c r="C88" s="288"/>
      <c r="D88" s="288"/>
      <c r="E88" s="368"/>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X88" s="296"/>
    </row>
    <row r="89" spans="1:76" ht="12.75" x14ac:dyDescent="0.2">
      <c r="B89" s="301"/>
      <c r="C89" s="288"/>
      <c r="D89" s="288"/>
      <c r="E89" s="368"/>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X89" s="296"/>
    </row>
    <row r="90" spans="1:76" ht="12.75" x14ac:dyDescent="0.2">
      <c r="B90" s="301"/>
      <c r="C90" s="288"/>
      <c r="D90" s="288"/>
      <c r="E90" s="368"/>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X90" s="296"/>
    </row>
    <row r="91" spans="1:76" ht="12.75" x14ac:dyDescent="0.2">
      <c r="B91" s="301"/>
      <c r="C91" s="288"/>
      <c r="D91" s="288"/>
      <c r="E91" s="368"/>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X91" s="296"/>
    </row>
    <row r="92" spans="1:76" ht="12.75" x14ac:dyDescent="0.2">
      <c r="B92" s="301"/>
      <c r="C92" s="288"/>
      <c r="D92" s="288"/>
      <c r="E92" s="368"/>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5"/>
      <c r="AY92" s="325"/>
      <c r="AZ92" s="325"/>
      <c r="BA92" s="325"/>
      <c r="BB92" s="325"/>
      <c r="BC92" s="325"/>
      <c r="BD92" s="325"/>
      <c r="BE92" s="325"/>
      <c r="BF92" s="325"/>
      <c r="BG92" s="325"/>
      <c r="BH92" s="325"/>
      <c r="BI92" s="325"/>
      <c r="BJ92" s="325"/>
      <c r="BK92" s="325"/>
      <c r="BL92" s="325"/>
      <c r="BM92" s="325"/>
      <c r="BN92" s="325"/>
      <c r="BO92" s="325"/>
      <c r="BP92" s="325"/>
      <c r="BQ92" s="325"/>
      <c r="BR92" s="325"/>
      <c r="BS92" s="325"/>
      <c r="BT92" s="325"/>
      <c r="BU92" s="325"/>
      <c r="BV92" s="325"/>
      <c r="BX92" s="296"/>
    </row>
    <row r="93" spans="1:76" ht="12.75" x14ac:dyDescent="0.2">
      <c r="B93" s="301"/>
      <c r="C93" s="288"/>
      <c r="D93" s="288"/>
      <c r="E93" s="368"/>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5"/>
      <c r="AZ93" s="325"/>
      <c r="BA93" s="325"/>
      <c r="BB93" s="325"/>
      <c r="BC93" s="325"/>
      <c r="BD93" s="325"/>
      <c r="BE93" s="325"/>
      <c r="BF93" s="325"/>
      <c r="BG93" s="325"/>
      <c r="BH93" s="325"/>
      <c r="BI93" s="325"/>
      <c r="BJ93" s="325"/>
      <c r="BK93" s="325"/>
      <c r="BL93" s="325"/>
      <c r="BM93" s="325"/>
      <c r="BN93" s="325"/>
      <c r="BO93" s="325"/>
      <c r="BP93" s="325"/>
      <c r="BQ93" s="325"/>
      <c r="BR93" s="325"/>
      <c r="BS93" s="325"/>
      <c r="BT93" s="325"/>
      <c r="BU93" s="325"/>
      <c r="BV93" s="325"/>
      <c r="BX93" s="296"/>
    </row>
    <row r="94" spans="1:76" ht="12.75" x14ac:dyDescent="0.2">
      <c r="B94" s="301"/>
      <c r="C94" s="288"/>
      <c r="D94" s="288"/>
      <c r="E94" s="368"/>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5"/>
      <c r="BI94" s="325"/>
      <c r="BJ94" s="325"/>
      <c r="BK94" s="325"/>
      <c r="BL94" s="325"/>
      <c r="BM94" s="325"/>
      <c r="BN94" s="325"/>
      <c r="BO94" s="325"/>
      <c r="BP94" s="325"/>
      <c r="BQ94" s="325"/>
      <c r="BR94" s="325"/>
      <c r="BS94" s="325"/>
      <c r="BT94" s="325"/>
      <c r="BU94" s="325"/>
      <c r="BV94" s="325"/>
      <c r="BX94" s="296"/>
    </row>
    <row r="95" spans="1:76" ht="12.75" x14ac:dyDescent="0.2">
      <c r="B95" s="301"/>
      <c r="C95" s="288"/>
      <c r="D95" s="288"/>
      <c r="E95" s="368"/>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c r="BX95" s="296"/>
    </row>
    <row r="96" spans="1:76" ht="12.75" x14ac:dyDescent="0.2">
      <c r="B96" s="301"/>
      <c r="C96" s="288"/>
      <c r="D96" s="288"/>
      <c r="E96" s="368"/>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X96" s="296"/>
    </row>
    <row r="97" spans="2:76" ht="12.75" x14ac:dyDescent="0.2">
      <c r="B97" s="301"/>
      <c r="C97" s="288"/>
      <c r="D97" s="288"/>
      <c r="E97" s="368"/>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X97" s="296"/>
    </row>
    <row r="98" spans="2:76" x14ac:dyDescent="0.3">
      <c r="B98" s="301"/>
      <c r="C98" s="288"/>
      <c r="D98" s="288"/>
      <c r="E98" s="368"/>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X98" s="296"/>
    </row>
    <row r="99" spans="2:76" x14ac:dyDescent="0.3">
      <c r="B99" s="301"/>
      <c r="C99" s="288"/>
      <c r="D99" s="288"/>
      <c r="E99" s="368"/>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X99" s="296"/>
    </row>
    <row r="100" spans="2:76" x14ac:dyDescent="0.3">
      <c r="B100" s="301"/>
      <c r="C100" s="288"/>
      <c r="D100" s="288"/>
      <c r="E100" s="368"/>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c r="BX100" s="296"/>
    </row>
    <row r="101" spans="2:76" x14ac:dyDescent="0.3">
      <c r="B101" s="301"/>
      <c r="C101" s="288"/>
      <c r="D101" s="288"/>
      <c r="E101" s="368"/>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c r="BX101" s="296"/>
    </row>
    <row r="102" spans="2:76" x14ac:dyDescent="0.3">
      <c r="B102" s="301"/>
      <c r="C102" s="288"/>
      <c r="D102" s="288"/>
      <c r="E102" s="368"/>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325"/>
      <c r="AS102" s="325"/>
      <c r="AT102" s="325"/>
      <c r="AU102" s="325"/>
      <c r="AV102" s="325"/>
      <c r="AW102" s="325"/>
      <c r="AX102" s="325"/>
      <c r="AY102" s="325"/>
      <c r="AZ102" s="325"/>
      <c r="BA102" s="325"/>
      <c r="BB102" s="325"/>
      <c r="BC102" s="325"/>
      <c r="BD102" s="325"/>
      <c r="BE102" s="325"/>
      <c r="BF102" s="325"/>
      <c r="BG102" s="325"/>
      <c r="BH102" s="325"/>
      <c r="BI102" s="325"/>
      <c r="BJ102" s="325"/>
      <c r="BK102" s="325"/>
      <c r="BL102" s="325"/>
      <c r="BM102" s="325"/>
      <c r="BN102" s="325"/>
      <c r="BO102" s="325"/>
      <c r="BP102" s="325"/>
      <c r="BQ102" s="325"/>
      <c r="BR102" s="325"/>
      <c r="BS102" s="325"/>
      <c r="BT102" s="325"/>
      <c r="BU102" s="325"/>
      <c r="BV102" s="325"/>
      <c r="BX102" s="296"/>
    </row>
    <row r="103" spans="2:76" x14ac:dyDescent="0.3">
      <c r="B103" s="301"/>
      <c r="C103" s="288"/>
      <c r="D103" s="288"/>
      <c r="E103" s="368"/>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c r="BX103" s="296"/>
    </row>
    <row r="104" spans="2:76" x14ac:dyDescent="0.3">
      <c r="B104" s="301"/>
      <c r="C104" s="288"/>
      <c r="D104" s="288"/>
      <c r="E104" s="368"/>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X104" s="296"/>
    </row>
    <row r="105" spans="2:76" x14ac:dyDescent="0.3">
      <c r="B105" s="301"/>
      <c r="C105" s="288"/>
      <c r="D105" s="288"/>
      <c r="E105" s="368"/>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X105" s="296"/>
    </row>
    <row r="106" spans="2:76" x14ac:dyDescent="0.3">
      <c r="B106" s="301"/>
      <c r="C106" s="288"/>
      <c r="D106" s="288"/>
      <c r="E106" s="368"/>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X106" s="296"/>
    </row>
    <row r="107" spans="2:76" x14ac:dyDescent="0.3">
      <c r="B107" s="301"/>
      <c r="C107" s="288"/>
      <c r="D107" s="288"/>
      <c r="E107" s="368"/>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X107" s="296"/>
    </row>
    <row r="108" spans="2:76" x14ac:dyDescent="0.3">
      <c r="B108" s="301"/>
      <c r="C108" s="288"/>
      <c r="D108" s="288"/>
      <c r="E108" s="368"/>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X108" s="296"/>
    </row>
    <row r="109" spans="2:76" x14ac:dyDescent="0.3">
      <c r="B109" s="301"/>
      <c r="C109" s="288"/>
      <c r="D109" s="288"/>
      <c r="E109" s="368"/>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X109" s="296"/>
    </row>
    <row r="110" spans="2:76" x14ac:dyDescent="0.3">
      <c r="B110" s="301"/>
      <c r="C110" s="288"/>
      <c r="D110" s="288"/>
      <c r="E110" s="368"/>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X110" s="296"/>
    </row>
    <row r="111" spans="2:76" x14ac:dyDescent="0.3">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45"/>
      <c r="BI111" s="245"/>
      <c r="BJ111" s="245"/>
      <c r="BK111" s="245"/>
      <c r="BL111" s="245"/>
      <c r="BM111" s="245"/>
      <c r="BN111" s="245"/>
      <c r="BO111" s="245"/>
      <c r="BP111" s="245"/>
      <c r="BQ111" s="245"/>
      <c r="BR111" s="245"/>
      <c r="BS111" s="245"/>
      <c r="BT111" s="245"/>
      <c r="BU111" s="245"/>
      <c r="BV111" s="245"/>
      <c r="BX111" s="296"/>
    </row>
    <row r="112" spans="2:76" x14ac:dyDescent="0.3">
      <c r="BX112" s="296"/>
    </row>
    <row r="113" spans="2:76" x14ac:dyDescent="0.3">
      <c r="BX113" s="296"/>
    </row>
    <row r="114" spans="2:76" x14ac:dyDescent="0.3">
      <c r="BX114" s="296"/>
    </row>
    <row r="115" spans="2:76" x14ac:dyDescent="0.3">
      <c r="BX115" s="296"/>
    </row>
    <row r="116" spans="2:76" x14ac:dyDescent="0.3">
      <c r="BX116" s="296"/>
    </row>
    <row r="117" spans="2:76" x14ac:dyDescent="0.3">
      <c r="BX117" s="296"/>
    </row>
    <row r="118" spans="2:76" x14ac:dyDescent="0.3">
      <c r="BX118" s="296"/>
    </row>
    <row r="119" spans="2:76" x14ac:dyDescent="0.3">
      <c r="BX119" s="296"/>
    </row>
    <row r="120" spans="2:76" x14ac:dyDescent="0.3">
      <c r="BX120" s="296"/>
    </row>
    <row r="121" spans="2:76" x14ac:dyDescent="0.3">
      <c r="BX121" s="296"/>
    </row>
    <row r="122" spans="2:76" x14ac:dyDescent="0.3">
      <c r="BX122" s="296"/>
    </row>
    <row r="123" spans="2:76" x14ac:dyDescent="0.3">
      <c r="BX123" s="296"/>
    </row>
    <row r="124" spans="2:76" x14ac:dyDescent="0.3">
      <c r="BX124" s="296"/>
    </row>
    <row r="125" spans="2:76" x14ac:dyDescent="0.3">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369"/>
      <c r="BF125" s="369"/>
      <c r="BG125" s="369"/>
      <c r="BH125" s="369"/>
      <c r="BI125" s="369"/>
      <c r="BJ125" s="369"/>
      <c r="BK125" s="369"/>
      <c r="BL125" s="369"/>
      <c r="BM125" s="369"/>
      <c r="BN125" s="369"/>
      <c r="BO125" s="369"/>
      <c r="BP125" s="369"/>
      <c r="BQ125" s="369"/>
      <c r="BR125" s="369"/>
      <c r="BS125" s="369"/>
      <c r="BT125" s="369"/>
      <c r="BU125" s="369"/>
      <c r="BV125" s="369"/>
      <c r="BX125" s="296"/>
    </row>
    <row r="126" spans="2:76" x14ac:dyDescent="0.3">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69"/>
      <c r="BP126" s="369"/>
      <c r="BQ126" s="369"/>
      <c r="BR126" s="369"/>
      <c r="BS126" s="369"/>
      <c r="BT126" s="369"/>
      <c r="BU126" s="369"/>
      <c r="BV126" s="369"/>
      <c r="BX126" s="296"/>
    </row>
    <row r="127" spans="2:76" x14ac:dyDescent="0.3">
      <c r="B127" s="301"/>
      <c r="C127" s="288"/>
      <c r="D127" s="288"/>
      <c r="E127" s="368"/>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325"/>
      <c r="AV127" s="325"/>
      <c r="AW127" s="325"/>
      <c r="AX127" s="325"/>
      <c r="AY127" s="325"/>
      <c r="AZ127" s="325"/>
      <c r="BA127" s="325"/>
      <c r="BB127" s="325"/>
      <c r="BC127" s="325"/>
      <c r="BD127" s="325"/>
      <c r="BE127" s="325"/>
      <c r="BF127" s="325"/>
      <c r="BG127" s="325"/>
      <c r="BH127" s="325"/>
      <c r="BI127" s="325"/>
      <c r="BJ127" s="325"/>
      <c r="BK127" s="325"/>
      <c r="BL127" s="325"/>
      <c r="BM127" s="325"/>
      <c r="BN127" s="325"/>
      <c r="BO127" s="325"/>
      <c r="BP127" s="325"/>
      <c r="BQ127" s="325"/>
      <c r="BR127" s="325"/>
      <c r="BS127" s="325"/>
      <c r="BT127" s="325"/>
      <c r="BU127" s="325"/>
      <c r="BV127" s="325"/>
      <c r="BX127" s="296"/>
    </row>
    <row r="128" spans="2:76" x14ac:dyDescent="0.3">
      <c r="B128" s="301"/>
      <c r="C128" s="301"/>
      <c r="D128" s="301"/>
      <c r="E128" s="368"/>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25"/>
      <c r="AR128" s="325"/>
      <c r="AS128" s="325"/>
      <c r="AT128" s="325"/>
      <c r="AU128" s="325"/>
      <c r="AV128" s="325"/>
      <c r="AW128" s="325"/>
      <c r="AX128" s="325"/>
      <c r="AY128" s="325"/>
      <c r="AZ128" s="325"/>
      <c r="BA128" s="325"/>
      <c r="BB128" s="325"/>
      <c r="BC128" s="325"/>
      <c r="BD128" s="325"/>
      <c r="BE128" s="325"/>
      <c r="BF128" s="325"/>
      <c r="BG128" s="325"/>
      <c r="BH128" s="325"/>
      <c r="BI128" s="325"/>
      <c r="BJ128" s="325"/>
      <c r="BK128" s="325"/>
      <c r="BL128" s="325"/>
      <c r="BM128" s="325"/>
      <c r="BN128" s="325"/>
      <c r="BO128" s="325"/>
      <c r="BP128" s="325"/>
      <c r="BQ128" s="325"/>
      <c r="BR128" s="325"/>
      <c r="BS128" s="325"/>
      <c r="BT128" s="325"/>
      <c r="BU128" s="325"/>
      <c r="BV128" s="325"/>
      <c r="BX128" s="296"/>
    </row>
    <row r="129" spans="2:76" x14ac:dyDescent="0.3">
      <c r="B129" s="301"/>
      <c r="C129" s="288"/>
      <c r="D129" s="288"/>
      <c r="E129" s="368"/>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25"/>
      <c r="BU129" s="325"/>
      <c r="BV129" s="325"/>
      <c r="BX129" s="296"/>
    </row>
    <row r="130" spans="2:76" x14ac:dyDescent="0.3">
      <c r="C130" s="288"/>
      <c r="D130" s="288"/>
      <c r="E130" s="368"/>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5"/>
      <c r="BG130" s="325"/>
      <c r="BH130" s="325"/>
      <c r="BI130" s="325"/>
      <c r="BJ130" s="325"/>
      <c r="BK130" s="325"/>
      <c r="BL130" s="325"/>
      <c r="BM130" s="325"/>
      <c r="BN130" s="325"/>
      <c r="BO130" s="325"/>
      <c r="BP130" s="325"/>
      <c r="BQ130" s="325"/>
      <c r="BR130" s="325"/>
      <c r="BS130" s="325"/>
      <c r="BT130" s="325"/>
      <c r="BU130" s="325"/>
      <c r="BV130" s="325"/>
      <c r="BX130" s="296"/>
    </row>
    <row r="131" spans="2:76" x14ac:dyDescent="0.3">
      <c r="B131" s="301"/>
      <c r="C131" s="288"/>
      <c r="D131" s="288"/>
      <c r="E131" s="368"/>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c r="BF131" s="325"/>
      <c r="BG131" s="325"/>
      <c r="BH131" s="325"/>
      <c r="BI131" s="325"/>
      <c r="BJ131" s="325"/>
      <c r="BK131" s="325"/>
      <c r="BL131" s="325"/>
      <c r="BM131" s="325"/>
      <c r="BN131" s="325"/>
      <c r="BO131" s="325"/>
      <c r="BP131" s="325"/>
      <c r="BQ131" s="325"/>
      <c r="BR131" s="325"/>
      <c r="BS131" s="325"/>
      <c r="BT131" s="325"/>
      <c r="BU131" s="325"/>
      <c r="BV131" s="325"/>
      <c r="BX131" s="296"/>
    </row>
    <row r="132" spans="2:76" x14ac:dyDescent="0.3">
      <c r="B132" s="301"/>
      <c r="C132" s="288"/>
      <c r="D132" s="288"/>
      <c r="E132" s="368"/>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c r="BX132" s="296"/>
    </row>
    <row r="133" spans="2:76" x14ac:dyDescent="0.3">
      <c r="B133" s="301"/>
      <c r="C133" s="288"/>
      <c r="D133" s="288"/>
      <c r="E133" s="368"/>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25"/>
      <c r="BX133" s="296"/>
    </row>
    <row r="134" spans="2:76" x14ac:dyDescent="0.3">
      <c r="B134" s="301"/>
      <c r="C134" s="288"/>
      <c r="D134" s="288"/>
      <c r="E134" s="368"/>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X134" s="296"/>
    </row>
    <row r="135" spans="2:76" x14ac:dyDescent="0.3">
      <c r="B135" s="301"/>
      <c r="C135" s="288"/>
      <c r="D135" s="288"/>
      <c r="E135" s="368"/>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325"/>
      <c r="AV135" s="325"/>
      <c r="AW135" s="325"/>
      <c r="AX135" s="325"/>
      <c r="AY135" s="325"/>
      <c r="AZ135" s="325"/>
      <c r="BA135" s="325"/>
      <c r="BB135" s="325"/>
      <c r="BC135" s="325"/>
      <c r="BD135" s="325"/>
      <c r="BE135" s="325"/>
      <c r="BF135" s="325"/>
      <c r="BG135" s="325"/>
      <c r="BH135" s="325"/>
      <c r="BI135" s="325"/>
      <c r="BJ135" s="325"/>
      <c r="BK135" s="325"/>
      <c r="BL135" s="325"/>
      <c r="BM135" s="325"/>
      <c r="BN135" s="325"/>
      <c r="BO135" s="325"/>
      <c r="BP135" s="325"/>
      <c r="BQ135" s="325"/>
      <c r="BR135" s="325"/>
      <c r="BS135" s="325"/>
      <c r="BT135" s="325"/>
      <c r="BU135" s="325"/>
      <c r="BV135" s="325"/>
      <c r="BX135" s="296"/>
    </row>
    <row r="136" spans="2:76" x14ac:dyDescent="0.3">
      <c r="B136" s="301"/>
      <c r="C136" s="288"/>
      <c r="D136" s="288"/>
      <c r="E136" s="368"/>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5"/>
      <c r="AZ136" s="325"/>
      <c r="BA136" s="325"/>
      <c r="BB136" s="325"/>
      <c r="BC136" s="325"/>
      <c r="BD136" s="325"/>
      <c r="BE136" s="325"/>
      <c r="BF136" s="325"/>
      <c r="BG136" s="325"/>
      <c r="BH136" s="325"/>
      <c r="BI136" s="325"/>
      <c r="BJ136" s="325"/>
      <c r="BK136" s="325"/>
      <c r="BL136" s="325"/>
      <c r="BM136" s="325"/>
      <c r="BN136" s="325"/>
      <c r="BO136" s="325"/>
      <c r="BP136" s="325"/>
      <c r="BQ136" s="325"/>
      <c r="BR136" s="325"/>
      <c r="BS136" s="325"/>
      <c r="BT136" s="325"/>
      <c r="BU136" s="325"/>
      <c r="BV136" s="325"/>
      <c r="BX136" s="296"/>
    </row>
    <row r="137" spans="2:76" x14ac:dyDescent="0.3">
      <c r="B137" s="301"/>
      <c r="C137" s="288"/>
      <c r="D137" s="288"/>
      <c r="E137" s="368"/>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5"/>
      <c r="AO137" s="325"/>
      <c r="AP137" s="325"/>
      <c r="AQ137" s="325"/>
      <c r="AR137" s="325"/>
      <c r="AS137" s="325"/>
      <c r="AT137" s="325"/>
      <c r="AU137" s="325"/>
      <c r="AV137" s="325"/>
      <c r="AW137" s="325"/>
      <c r="AX137" s="325"/>
      <c r="AY137" s="325"/>
      <c r="AZ137" s="325"/>
      <c r="BA137" s="325"/>
      <c r="BB137" s="325"/>
      <c r="BC137" s="325"/>
      <c r="BD137" s="325"/>
      <c r="BE137" s="325"/>
      <c r="BF137" s="325"/>
      <c r="BG137" s="325"/>
      <c r="BH137" s="325"/>
      <c r="BI137" s="325"/>
      <c r="BJ137" s="325"/>
      <c r="BK137" s="325"/>
      <c r="BL137" s="325"/>
      <c r="BM137" s="325"/>
      <c r="BN137" s="325"/>
      <c r="BO137" s="325"/>
      <c r="BP137" s="325"/>
      <c r="BQ137" s="325"/>
      <c r="BR137" s="325"/>
      <c r="BS137" s="325"/>
      <c r="BT137" s="325"/>
      <c r="BU137" s="325"/>
      <c r="BV137" s="325"/>
      <c r="BX137" s="296"/>
    </row>
    <row r="138" spans="2:76" x14ac:dyDescent="0.3">
      <c r="B138" s="301"/>
      <c r="C138" s="288"/>
      <c r="D138" s="288"/>
      <c r="E138" s="368"/>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S138" s="325"/>
      <c r="AT138" s="325"/>
      <c r="AU138" s="325"/>
      <c r="AV138" s="325"/>
      <c r="AW138" s="325"/>
      <c r="AX138" s="325"/>
      <c r="AY138" s="325"/>
      <c r="AZ138" s="325"/>
      <c r="BA138" s="325"/>
      <c r="BB138" s="325"/>
      <c r="BC138" s="325"/>
      <c r="BD138" s="325"/>
      <c r="BE138" s="325"/>
      <c r="BF138" s="325"/>
      <c r="BG138" s="325"/>
      <c r="BH138" s="325"/>
      <c r="BI138" s="325"/>
      <c r="BJ138" s="325"/>
      <c r="BK138" s="325"/>
      <c r="BL138" s="325"/>
      <c r="BM138" s="325"/>
      <c r="BN138" s="325"/>
      <c r="BO138" s="325"/>
      <c r="BP138" s="325"/>
      <c r="BQ138" s="325"/>
      <c r="BR138" s="325"/>
      <c r="BS138" s="325"/>
      <c r="BT138" s="325"/>
      <c r="BU138" s="325"/>
      <c r="BV138" s="325"/>
      <c r="BX138" s="296"/>
    </row>
    <row r="139" spans="2:76" x14ac:dyDescent="0.3">
      <c r="B139" s="301"/>
      <c r="C139" s="288"/>
      <c r="D139" s="288"/>
      <c r="E139" s="368"/>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5"/>
      <c r="AT139" s="325"/>
      <c r="AU139" s="325"/>
      <c r="AV139" s="325"/>
      <c r="AW139" s="325"/>
      <c r="AX139" s="325"/>
      <c r="AY139" s="325"/>
      <c r="AZ139" s="325"/>
      <c r="BA139" s="325"/>
      <c r="BB139" s="325"/>
      <c r="BC139" s="325"/>
      <c r="BD139" s="325"/>
      <c r="BE139" s="325"/>
      <c r="BF139" s="325"/>
      <c r="BG139" s="325"/>
      <c r="BH139" s="325"/>
      <c r="BI139" s="325"/>
      <c r="BJ139" s="325"/>
      <c r="BK139" s="325"/>
      <c r="BL139" s="325"/>
      <c r="BM139" s="325"/>
      <c r="BN139" s="325"/>
      <c r="BO139" s="325"/>
      <c r="BP139" s="325"/>
      <c r="BQ139" s="325"/>
      <c r="BR139" s="325"/>
      <c r="BS139" s="325"/>
      <c r="BT139" s="325"/>
      <c r="BU139" s="325"/>
      <c r="BV139" s="325"/>
      <c r="BX139" s="296"/>
    </row>
    <row r="140" spans="2:76" x14ac:dyDescent="0.3">
      <c r="B140" s="301"/>
      <c r="C140" s="301"/>
      <c r="D140" s="301"/>
      <c r="E140" s="368"/>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5"/>
      <c r="AV140" s="325"/>
      <c r="AW140" s="325"/>
      <c r="AX140" s="325"/>
      <c r="AY140" s="325"/>
      <c r="AZ140" s="325"/>
      <c r="BA140" s="325"/>
      <c r="BB140" s="325"/>
      <c r="BC140" s="325"/>
      <c r="BD140" s="325"/>
      <c r="BE140" s="325"/>
      <c r="BF140" s="325"/>
      <c r="BG140" s="325"/>
      <c r="BH140" s="325"/>
      <c r="BI140" s="325"/>
      <c r="BJ140" s="325"/>
      <c r="BK140" s="325"/>
      <c r="BL140" s="325"/>
      <c r="BM140" s="325"/>
      <c r="BN140" s="325"/>
      <c r="BO140" s="325"/>
      <c r="BP140" s="325"/>
      <c r="BQ140" s="325"/>
      <c r="BR140" s="325"/>
      <c r="BS140" s="325"/>
      <c r="BT140" s="325"/>
      <c r="BU140" s="325"/>
      <c r="BV140" s="325"/>
      <c r="BX140" s="296"/>
    </row>
    <row r="141" spans="2:76" x14ac:dyDescent="0.3">
      <c r="B141" s="301"/>
      <c r="C141" s="288"/>
      <c r="D141" s="288"/>
      <c r="E141" s="368"/>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25"/>
      <c r="AR141" s="325"/>
      <c r="AS141" s="325"/>
      <c r="AT141" s="325"/>
      <c r="AU141" s="325"/>
      <c r="AV141" s="325"/>
      <c r="AW141" s="325"/>
      <c r="AX141" s="325"/>
      <c r="AY141" s="325"/>
      <c r="AZ141" s="325"/>
      <c r="BA141" s="325"/>
      <c r="BB141" s="325"/>
      <c r="BC141" s="325"/>
      <c r="BD141" s="325"/>
      <c r="BE141" s="325"/>
      <c r="BF141" s="325"/>
      <c r="BG141" s="325"/>
      <c r="BH141" s="325"/>
      <c r="BI141" s="325"/>
      <c r="BJ141" s="325"/>
      <c r="BK141" s="325"/>
      <c r="BL141" s="325"/>
      <c r="BM141" s="325"/>
      <c r="BN141" s="325"/>
      <c r="BO141" s="325"/>
      <c r="BP141" s="325"/>
      <c r="BQ141" s="325"/>
      <c r="BR141" s="325"/>
      <c r="BS141" s="325"/>
      <c r="BT141" s="325"/>
      <c r="BU141" s="325"/>
      <c r="BV141" s="325"/>
      <c r="BX141" s="296"/>
    </row>
    <row r="142" spans="2:76" x14ac:dyDescent="0.3">
      <c r="B142" s="301"/>
      <c r="C142" s="288"/>
      <c r="D142" s="288"/>
      <c r="E142" s="368"/>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5"/>
      <c r="BC142" s="325"/>
      <c r="BD142" s="325"/>
      <c r="BE142" s="325"/>
      <c r="BF142" s="325"/>
      <c r="BG142" s="325"/>
      <c r="BH142" s="325"/>
      <c r="BI142" s="325"/>
      <c r="BJ142" s="325"/>
      <c r="BK142" s="325"/>
      <c r="BL142" s="325"/>
      <c r="BM142" s="325"/>
      <c r="BN142" s="325"/>
      <c r="BO142" s="325"/>
      <c r="BP142" s="325"/>
      <c r="BQ142" s="325"/>
      <c r="BR142" s="325"/>
      <c r="BS142" s="325"/>
      <c r="BT142" s="325"/>
      <c r="BU142" s="325"/>
      <c r="BV142" s="325"/>
      <c r="BX142" s="296"/>
    </row>
    <row r="143" spans="2:76" x14ac:dyDescent="0.3">
      <c r="B143" s="301"/>
      <c r="C143" s="288"/>
      <c r="D143" s="288"/>
      <c r="E143" s="368"/>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c r="AN143" s="325"/>
      <c r="AO143" s="325"/>
      <c r="AP143" s="325"/>
      <c r="AQ143" s="325"/>
      <c r="AR143" s="325"/>
      <c r="AS143" s="325"/>
      <c r="AT143" s="325"/>
      <c r="AU143" s="325"/>
      <c r="AV143" s="325"/>
      <c r="AW143" s="325"/>
      <c r="AX143" s="325"/>
      <c r="AY143" s="325"/>
      <c r="AZ143" s="325"/>
      <c r="BA143" s="325"/>
      <c r="BB143" s="325"/>
      <c r="BC143" s="325"/>
      <c r="BD143" s="325"/>
      <c r="BE143" s="325"/>
      <c r="BF143" s="325"/>
      <c r="BG143" s="325"/>
      <c r="BH143" s="325"/>
      <c r="BI143" s="325"/>
      <c r="BJ143" s="325"/>
      <c r="BK143" s="325"/>
      <c r="BL143" s="325"/>
      <c r="BM143" s="325"/>
      <c r="BN143" s="325"/>
      <c r="BO143" s="325"/>
      <c r="BP143" s="325"/>
      <c r="BQ143" s="325"/>
      <c r="BR143" s="325"/>
      <c r="BS143" s="325"/>
      <c r="BT143" s="325"/>
      <c r="BU143" s="325"/>
      <c r="BV143" s="325"/>
      <c r="BX143" s="296"/>
    </row>
    <row r="144" spans="2:76" x14ac:dyDescent="0.3">
      <c r="B144" s="301"/>
      <c r="C144" s="288"/>
      <c r="D144" s="288"/>
      <c r="E144" s="368"/>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c r="AN144" s="325"/>
      <c r="AO144" s="325"/>
      <c r="AP144" s="325"/>
      <c r="AQ144" s="325"/>
      <c r="AR144" s="325"/>
      <c r="AS144" s="325"/>
      <c r="AT144" s="325"/>
      <c r="AU144" s="325"/>
      <c r="AV144" s="325"/>
      <c r="AW144" s="325"/>
      <c r="AX144" s="325"/>
      <c r="AY144" s="325"/>
      <c r="AZ144" s="325"/>
      <c r="BA144" s="325"/>
      <c r="BB144" s="325"/>
      <c r="BC144" s="325"/>
      <c r="BD144" s="325"/>
      <c r="BE144" s="325"/>
      <c r="BF144" s="325"/>
      <c r="BG144" s="325"/>
      <c r="BH144" s="325"/>
      <c r="BI144" s="325"/>
      <c r="BJ144" s="325"/>
      <c r="BK144" s="325"/>
      <c r="BL144" s="325"/>
      <c r="BM144" s="325"/>
      <c r="BN144" s="325"/>
      <c r="BO144" s="325"/>
      <c r="BP144" s="325"/>
      <c r="BQ144" s="325"/>
      <c r="BR144" s="325"/>
      <c r="BS144" s="325"/>
      <c r="BT144" s="325"/>
      <c r="BU144" s="325"/>
      <c r="BV144" s="325"/>
      <c r="BX144" s="296"/>
    </row>
    <row r="145" spans="2:76" x14ac:dyDescent="0.3">
      <c r="B145" s="301"/>
      <c r="C145" s="288"/>
      <c r="D145" s="288"/>
      <c r="E145" s="368"/>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c r="AN145" s="325"/>
      <c r="AO145" s="325"/>
      <c r="AP145" s="325"/>
      <c r="AQ145" s="325"/>
      <c r="AR145" s="325"/>
      <c r="AS145" s="325"/>
      <c r="AT145" s="325"/>
      <c r="AU145" s="325"/>
      <c r="AV145" s="325"/>
      <c r="AW145" s="325"/>
      <c r="AX145" s="325"/>
      <c r="AY145" s="325"/>
      <c r="AZ145" s="325"/>
      <c r="BA145" s="325"/>
      <c r="BB145" s="325"/>
      <c r="BC145" s="325"/>
      <c r="BD145" s="325"/>
      <c r="BE145" s="325"/>
      <c r="BF145" s="325"/>
      <c r="BG145" s="325"/>
      <c r="BH145" s="325"/>
      <c r="BI145" s="325"/>
      <c r="BJ145" s="325"/>
      <c r="BK145" s="325"/>
      <c r="BL145" s="325"/>
      <c r="BM145" s="325"/>
      <c r="BN145" s="325"/>
      <c r="BO145" s="325"/>
      <c r="BP145" s="325"/>
      <c r="BQ145" s="325"/>
      <c r="BR145" s="325"/>
      <c r="BS145" s="325"/>
      <c r="BT145" s="325"/>
      <c r="BU145" s="325"/>
      <c r="BV145" s="325"/>
      <c r="BX145" s="296"/>
    </row>
    <row r="146" spans="2:76" x14ac:dyDescent="0.3">
      <c r="B146" s="301"/>
      <c r="C146" s="288"/>
      <c r="D146" s="288"/>
      <c r="E146" s="368"/>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25"/>
      <c r="AY146" s="325"/>
      <c r="AZ146" s="325"/>
      <c r="BA146" s="325"/>
      <c r="BB146" s="325"/>
      <c r="BC146" s="325"/>
      <c r="BD146" s="325"/>
      <c r="BE146" s="325"/>
      <c r="BF146" s="325"/>
      <c r="BG146" s="325"/>
      <c r="BH146" s="325"/>
      <c r="BI146" s="325"/>
      <c r="BJ146" s="325"/>
      <c r="BK146" s="325"/>
      <c r="BL146" s="325"/>
      <c r="BM146" s="325"/>
      <c r="BN146" s="325"/>
      <c r="BO146" s="325"/>
      <c r="BP146" s="325"/>
      <c r="BQ146" s="325"/>
      <c r="BR146" s="325"/>
      <c r="BS146" s="325"/>
      <c r="BT146" s="325"/>
      <c r="BU146" s="325"/>
      <c r="BV146" s="325"/>
      <c r="BX146" s="296"/>
    </row>
    <row r="147" spans="2:76" x14ac:dyDescent="0.3">
      <c r="B147" s="301"/>
      <c r="C147" s="288"/>
      <c r="D147" s="288"/>
      <c r="E147" s="368"/>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5"/>
      <c r="AY147" s="325"/>
      <c r="AZ147" s="325"/>
      <c r="BA147" s="325"/>
      <c r="BB147" s="325"/>
      <c r="BC147" s="325"/>
      <c r="BD147" s="325"/>
      <c r="BE147" s="325"/>
      <c r="BF147" s="325"/>
      <c r="BG147" s="325"/>
      <c r="BH147" s="325"/>
      <c r="BI147" s="325"/>
      <c r="BJ147" s="325"/>
      <c r="BK147" s="325"/>
      <c r="BL147" s="325"/>
      <c r="BM147" s="325"/>
      <c r="BN147" s="325"/>
      <c r="BO147" s="325"/>
      <c r="BP147" s="325"/>
      <c r="BQ147" s="325"/>
      <c r="BR147" s="325"/>
      <c r="BS147" s="325"/>
      <c r="BT147" s="325"/>
      <c r="BU147" s="325"/>
      <c r="BV147" s="325"/>
      <c r="BX147" s="296"/>
    </row>
    <row r="148" spans="2:76" x14ac:dyDescent="0.3">
      <c r="B148" s="301"/>
      <c r="C148" s="288"/>
      <c r="D148" s="288"/>
      <c r="E148" s="368"/>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c r="AN148" s="325"/>
      <c r="AO148" s="325"/>
      <c r="AP148" s="325"/>
      <c r="AQ148" s="325"/>
      <c r="AR148" s="325"/>
      <c r="AS148" s="325"/>
      <c r="AT148" s="325"/>
      <c r="AU148" s="325"/>
      <c r="AV148" s="325"/>
      <c r="AW148" s="325"/>
      <c r="AX148" s="325"/>
      <c r="AY148" s="325"/>
      <c r="AZ148" s="325"/>
      <c r="BA148" s="325"/>
      <c r="BB148" s="325"/>
      <c r="BC148" s="325"/>
      <c r="BD148" s="325"/>
      <c r="BE148" s="325"/>
      <c r="BF148" s="325"/>
      <c r="BG148" s="325"/>
      <c r="BH148" s="325"/>
      <c r="BI148" s="325"/>
      <c r="BJ148" s="325"/>
      <c r="BK148" s="325"/>
      <c r="BL148" s="325"/>
      <c r="BM148" s="325"/>
      <c r="BN148" s="325"/>
      <c r="BO148" s="325"/>
      <c r="BP148" s="325"/>
      <c r="BQ148" s="325"/>
      <c r="BR148" s="325"/>
      <c r="BS148" s="325"/>
      <c r="BT148" s="325"/>
      <c r="BU148" s="325"/>
      <c r="BV148" s="325"/>
      <c r="BX148" s="296"/>
    </row>
    <row r="149" spans="2:76" x14ac:dyDescent="0.3">
      <c r="B149" s="301"/>
      <c r="C149" s="288"/>
      <c r="D149" s="288"/>
      <c r="E149" s="368"/>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5"/>
      <c r="AQ149" s="325"/>
      <c r="AR149" s="325"/>
      <c r="AS149" s="325"/>
      <c r="AT149" s="325"/>
      <c r="AU149" s="325"/>
      <c r="AV149" s="325"/>
      <c r="AW149" s="325"/>
      <c r="AX149" s="325"/>
      <c r="AY149" s="325"/>
      <c r="AZ149" s="325"/>
      <c r="BA149" s="325"/>
      <c r="BB149" s="325"/>
      <c r="BC149" s="325"/>
      <c r="BD149" s="325"/>
      <c r="BE149" s="325"/>
      <c r="BF149" s="325"/>
      <c r="BG149" s="325"/>
      <c r="BH149" s="325"/>
      <c r="BI149" s="325"/>
      <c r="BJ149" s="325"/>
      <c r="BK149" s="325"/>
      <c r="BL149" s="325"/>
      <c r="BM149" s="325"/>
      <c r="BN149" s="325"/>
      <c r="BO149" s="325"/>
      <c r="BP149" s="325"/>
      <c r="BQ149" s="325"/>
      <c r="BR149" s="325"/>
      <c r="BS149" s="325"/>
      <c r="BT149" s="325"/>
      <c r="BU149" s="325"/>
      <c r="BV149" s="325"/>
      <c r="BX149" s="296"/>
    </row>
    <row r="150" spans="2:76" x14ac:dyDescent="0.3">
      <c r="B150" s="301"/>
      <c r="C150" s="288"/>
      <c r="D150" s="288"/>
      <c r="E150" s="368"/>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5"/>
      <c r="AW150" s="325"/>
      <c r="AX150" s="325"/>
      <c r="AY150" s="325"/>
      <c r="AZ150" s="325"/>
      <c r="BA150" s="325"/>
      <c r="BB150" s="325"/>
      <c r="BC150" s="325"/>
      <c r="BD150" s="325"/>
      <c r="BE150" s="325"/>
      <c r="BF150" s="325"/>
      <c r="BG150" s="325"/>
      <c r="BH150" s="325"/>
      <c r="BI150" s="325"/>
      <c r="BJ150" s="325"/>
      <c r="BK150" s="325"/>
      <c r="BL150" s="325"/>
      <c r="BM150" s="325"/>
      <c r="BN150" s="325"/>
      <c r="BO150" s="325"/>
      <c r="BP150" s="325"/>
      <c r="BQ150" s="325"/>
      <c r="BR150" s="325"/>
      <c r="BS150" s="325"/>
      <c r="BT150" s="325"/>
      <c r="BU150" s="325"/>
      <c r="BV150" s="325"/>
      <c r="BX150" s="296"/>
    </row>
    <row r="151" spans="2:76" x14ac:dyDescent="0.3">
      <c r="B151" s="301"/>
      <c r="C151" s="288"/>
      <c r="D151" s="288"/>
      <c r="E151" s="368"/>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5"/>
      <c r="AW151" s="325"/>
      <c r="AX151" s="325"/>
      <c r="AY151" s="325"/>
      <c r="AZ151" s="325"/>
      <c r="BA151" s="325"/>
      <c r="BB151" s="325"/>
      <c r="BC151" s="325"/>
      <c r="BD151" s="325"/>
      <c r="BE151" s="325"/>
      <c r="BF151" s="325"/>
      <c r="BG151" s="325"/>
      <c r="BH151" s="325"/>
      <c r="BI151" s="325"/>
      <c r="BJ151" s="325"/>
      <c r="BK151" s="325"/>
      <c r="BL151" s="325"/>
      <c r="BM151" s="325"/>
      <c r="BN151" s="325"/>
      <c r="BO151" s="325"/>
      <c r="BP151" s="325"/>
      <c r="BQ151" s="325"/>
      <c r="BR151" s="325"/>
      <c r="BS151" s="325"/>
      <c r="BT151" s="325"/>
      <c r="BU151" s="325"/>
      <c r="BV151" s="325"/>
      <c r="BX151" s="296"/>
    </row>
    <row r="152" spans="2:76" x14ac:dyDescent="0.3">
      <c r="B152" s="301"/>
      <c r="C152" s="288"/>
      <c r="D152" s="288"/>
      <c r="E152" s="368"/>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X152" s="296"/>
    </row>
    <row r="153" spans="2:76" x14ac:dyDescent="0.3">
      <c r="B153" s="301"/>
      <c r="C153" s="301"/>
      <c r="D153" s="301"/>
      <c r="E153" s="368"/>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c r="AN153" s="325"/>
      <c r="AO153" s="325"/>
      <c r="AP153" s="325"/>
      <c r="AQ153" s="325"/>
      <c r="AR153" s="325"/>
      <c r="AS153" s="325"/>
      <c r="AT153" s="325"/>
      <c r="AU153" s="325"/>
      <c r="AV153" s="325"/>
      <c r="AW153" s="325"/>
      <c r="AX153" s="325"/>
      <c r="AY153" s="325"/>
      <c r="AZ153" s="325"/>
      <c r="BA153" s="325"/>
      <c r="BB153" s="325"/>
      <c r="BC153" s="325"/>
      <c r="BD153" s="325"/>
      <c r="BE153" s="325"/>
      <c r="BF153" s="325"/>
      <c r="BG153" s="325"/>
      <c r="BH153" s="325"/>
      <c r="BI153" s="325"/>
      <c r="BJ153" s="325"/>
      <c r="BK153" s="325"/>
      <c r="BL153" s="325"/>
      <c r="BM153" s="325"/>
      <c r="BN153" s="325"/>
      <c r="BO153" s="325"/>
      <c r="BP153" s="325"/>
      <c r="BQ153" s="325"/>
      <c r="BR153" s="325"/>
      <c r="BS153" s="325"/>
      <c r="BT153" s="325"/>
      <c r="BU153" s="325"/>
      <c r="BV153" s="325"/>
      <c r="BX153" s="296"/>
    </row>
    <row r="154" spans="2:76" x14ac:dyDescent="0.3">
      <c r="B154" s="301"/>
      <c r="C154" s="288"/>
      <c r="D154" s="288"/>
      <c r="E154" s="368"/>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325"/>
      <c r="AL154" s="325"/>
      <c r="AM154" s="325"/>
      <c r="AN154" s="325"/>
      <c r="AO154" s="325"/>
      <c r="AP154" s="325"/>
      <c r="AQ154" s="325"/>
      <c r="AR154" s="325"/>
      <c r="AS154" s="325"/>
      <c r="AT154" s="325"/>
      <c r="AU154" s="325"/>
      <c r="AV154" s="325"/>
      <c r="AW154" s="325"/>
      <c r="AX154" s="325"/>
      <c r="AY154" s="325"/>
      <c r="AZ154" s="325"/>
      <c r="BA154" s="325"/>
      <c r="BB154" s="325"/>
      <c r="BC154" s="325"/>
      <c r="BD154" s="325"/>
      <c r="BE154" s="325"/>
      <c r="BF154" s="325"/>
      <c r="BG154" s="325"/>
      <c r="BH154" s="325"/>
      <c r="BI154" s="325"/>
      <c r="BJ154" s="325"/>
      <c r="BK154" s="325"/>
      <c r="BL154" s="325"/>
      <c r="BM154" s="325"/>
      <c r="BN154" s="325"/>
      <c r="BO154" s="325"/>
      <c r="BP154" s="325"/>
      <c r="BQ154" s="325"/>
      <c r="BR154" s="325"/>
      <c r="BS154" s="325"/>
      <c r="BT154" s="325"/>
      <c r="BU154" s="325"/>
      <c r="BV154" s="325"/>
      <c r="BX154" s="296"/>
    </row>
    <row r="155" spans="2:76" x14ac:dyDescent="0.3">
      <c r="B155" s="301"/>
      <c r="C155" s="288"/>
      <c r="D155" s="288"/>
      <c r="E155" s="368"/>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c r="AN155" s="325"/>
      <c r="AO155" s="325"/>
      <c r="AP155" s="325"/>
      <c r="AQ155" s="325"/>
      <c r="AR155" s="325"/>
      <c r="AS155" s="325"/>
      <c r="AT155" s="325"/>
      <c r="AU155" s="325"/>
      <c r="AV155" s="325"/>
      <c r="AW155" s="325"/>
      <c r="AX155" s="325"/>
      <c r="AY155" s="325"/>
      <c r="AZ155" s="325"/>
      <c r="BA155" s="325"/>
      <c r="BB155" s="325"/>
      <c r="BC155" s="325"/>
      <c r="BD155" s="325"/>
      <c r="BE155" s="325"/>
      <c r="BF155" s="325"/>
      <c r="BG155" s="325"/>
      <c r="BH155" s="325"/>
      <c r="BI155" s="325"/>
      <c r="BJ155" s="325"/>
      <c r="BK155" s="325"/>
      <c r="BL155" s="325"/>
      <c r="BM155" s="325"/>
      <c r="BN155" s="325"/>
      <c r="BO155" s="325"/>
      <c r="BP155" s="325"/>
      <c r="BQ155" s="325"/>
      <c r="BR155" s="325"/>
      <c r="BS155" s="325"/>
      <c r="BT155" s="325"/>
      <c r="BU155" s="325"/>
      <c r="BV155" s="325"/>
      <c r="BX155" s="296"/>
    </row>
    <row r="156" spans="2:76" x14ac:dyDescent="0.3">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245"/>
      <c r="BS156" s="245"/>
      <c r="BT156" s="245"/>
      <c r="BU156" s="245"/>
      <c r="BV156" s="245"/>
      <c r="BX156" s="296"/>
    </row>
    <row r="157" spans="2:76" x14ac:dyDescent="0.3">
      <c r="B157" s="301"/>
      <c r="C157" s="288"/>
      <c r="D157" s="288"/>
      <c r="E157" s="368"/>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5"/>
      <c r="AY157" s="325"/>
      <c r="AZ157" s="325"/>
      <c r="BA157" s="325"/>
      <c r="BB157" s="325"/>
      <c r="BC157" s="325"/>
      <c r="BD157" s="325"/>
      <c r="BE157" s="325"/>
      <c r="BF157" s="325"/>
      <c r="BG157" s="325"/>
      <c r="BH157" s="325"/>
      <c r="BI157" s="325"/>
      <c r="BJ157" s="325"/>
      <c r="BK157" s="325"/>
      <c r="BL157" s="325"/>
      <c r="BM157" s="325"/>
      <c r="BN157" s="325"/>
      <c r="BO157" s="325"/>
      <c r="BP157" s="325"/>
      <c r="BQ157" s="325"/>
      <c r="BR157" s="325"/>
      <c r="BS157" s="325"/>
      <c r="BT157" s="325"/>
      <c r="BU157" s="325"/>
      <c r="BV157" s="325"/>
      <c r="BX157" s="296"/>
    </row>
    <row r="158" spans="2:76" x14ac:dyDescent="0.3">
      <c r="B158" s="301"/>
      <c r="C158" s="288"/>
      <c r="D158" s="288"/>
      <c r="E158" s="368"/>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325"/>
      <c r="AZ158" s="325"/>
      <c r="BA158" s="325"/>
      <c r="BB158" s="325"/>
      <c r="BC158" s="325"/>
      <c r="BD158" s="325"/>
      <c r="BE158" s="325"/>
      <c r="BF158" s="325"/>
      <c r="BG158" s="325"/>
      <c r="BH158" s="325"/>
      <c r="BI158" s="325"/>
      <c r="BJ158" s="325"/>
      <c r="BK158" s="325"/>
      <c r="BL158" s="325"/>
      <c r="BM158" s="325"/>
      <c r="BN158" s="325"/>
      <c r="BO158" s="325"/>
      <c r="BP158" s="325"/>
      <c r="BQ158" s="325"/>
      <c r="BR158" s="325"/>
      <c r="BS158" s="325"/>
      <c r="BT158" s="325"/>
      <c r="BU158" s="325"/>
      <c r="BV158" s="325"/>
      <c r="BX158" s="296"/>
    </row>
    <row r="159" spans="2:76" x14ac:dyDescent="0.3">
      <c r="B159" s="301"/>
      <c r="C159" s="288"/>
      <c r="D159" s="288"/>
      <c r="E159" s="368"/>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c r="AN159" s="325"/>
      <c r="AO159" s="325"/>
      <c r="AP159" s="325"/>
      <c r="AQ159" s="325"/>
      <c r="AR159" s="325"/>
      <c r="AS159" s="325"/>
      <c r="AT159" s="325"/>
      <c r="AU159" s="325"/>
      <c r="AV159" s="325"/>
      <c r="AW159" s="325"/>
      <c r="AX159" s="325"/>
      <c r="AY159" s="325"/>
      <c r="AZ159" s="325"/>
      <c r="BA159" s="325"/>
      <c r="BB159" s="325"/>
      <c r="BC159" s="325"/>
      <c r="BD159" s="325"/>
      <c r="BE159" s="325"/>
      <c r="BF159" s="325"/>
      <c r="BG159" s="325"/>
      <c r="BH159" s="325"/>
      <c r="BI159" s="325"/>
      <c r="BJ159" s="325"/>
      <c r="BK159" s="325"/>
      <c r="BL159" s="325"/>
      <c r="BM159" s="325"/>
      <c r="BN159" s="325"/>
      <c r="BO159" s="325"/>
      <c r="BP159" s="325"/>
      <c r="BQ159" s="325"/>
      <c r="BR159" s="325"/>
      <c r="BS159" s="325"/>
      <c r="BT159" s="325"/>
      <c r="BU159" s="325"/>
      <c r="BV159" s="325"/>
      <c r="BX159" s="296"/>
    </row>
    <row r="160" spans="2:76" x14ac:dyDescent="0.3">
      <c r="B160" s="301"/>
      <c r="C160" s="288"/>
      <c r="D160" s="288"/>
      <c r="E160" s="368"/>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325"/>
      <c r="AL160" s="325"/>
      <c r="AM160" s="325"/>
      <c r="AN160" s="325"/>
      <c r="AO160" s="325"/>
      <c r="AP160" s="325"/>
      <c r="AQ160" s="325"/>
      <c r="AR160" s="325"/>
      <c r="AS160" s="325"/>
      <c r="AT160" s="325"/>
      <c r="AU160" s="325"/>
      <c r="AV160" s="325"/>
      <c r="AW160" s="325"/>
      <c r="AX160" s="325"/>
      <c r="AY160" s="325"/>
      <c r="AZ160" s="325"/>
      <c r="BA160" s="325"/>
      <c r="BB160" s="325"/>
      <c r="BC160" s="325"/>
      <c r="BD160" s="325"/>
      <c r="BE160" s="325"/>
      <c r="BF160" s="325"/>
      <c r="BG160" s="325"/>
      <c r="BH160" s="325"/>
      <c r="BI160" s="325"/>
      <c r="BJ160" s="325"/>
      <c r="BK160" s="325"/>
      <c r="BL160" s="325"/>
      <c r="BM160" s="325"/>
      <c r="BN160" s="325"/>
      <c r="BO160" s="325"/>
      <c r="BP160" s="325"/>
      <c r="BQ160" s="325"/>
      <c r="BR160" s="325"/>
      <c r="BS160" s="325"/>
      <c r="BT160" s="325"/>
      <c r="BU160" s="325"/>
      <c r="BV160" s="325"/>
      <c r="BX160" s="296"/>
    </row>
    <row r="161" spans="2:76" x14ac:dyDescent="0.3">
      <c r="B161" s="301"/>
      <c r="C161" s="288"/>
      <c r="D161" s="288"/>
      <c r="E161" s="368"/>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c r="BC161" s="325"/>
      <c r="BD161" s="325"/>
      <c r="BE161" s="325"/>
      <c r="BF161" s="325"/>
      <c r="BG161" s="325"/>
      <c r="BH161" s="325"/>
      <c r="BI161" s="325"/>
      <c r="BJ161" s="325"/>
      <c r="BK161" s="325"/>
      <c r="BL161" s="325"/>
      <c r="BM161" s="325"/>
      <c r="BN161" s="325"/>
      <c r="BO161" s="325"/>
      <c r="BP161" s="325"/>
      <c r="BQ161" s="325"/>
      <c r="BR161" s="325"/>
      <c r="BS161" s="325"/>
      <c r="BT161" s="325"/>
      <c r="BU161" s="325"/>
      <c r="BV161" s="325"/>
      <c r="BX161" s="296"/>
    </row>
    <row r="162" spans="2:76" x14ac:dyDescent="0.3">
      <c r="B162" s="301"/>
      <c r="C162" s="288"/>
      <c r="D162" s="288"/>
      <c r="E162" s="368"/>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c r="BC162" s="325"/>
      <c r="BD162" s="325"/>
      <c r="BE162" s="325"/>
      <c r="BF162" s="325"/>
      <c r="BG162" s="325"/>
      <c r="BH162" s="325"/>
      <c r="BI162" s="325"/>
      <c r="BJ162" s="325"/>
      <c r="BK162" s="325"/>
      <c r="BL162" s="325"/>
      <c r="BM162" s="325"/>
      <c r="BN162" s="325"/>
      <c r="BO162" s="325"/>
      <c r="BP162" s="325"/>
      <c r="BQ162" s="325"/>
      <c r="BR162" s="325"/>
      <c r="BS162" s="325"/>
      <c r="BT162" s="325"/>
      <c r="BU162" s="325"/>
      <c r="BV162" s="325"/>
      <c r="BX162" s="296"/>
    </row>
    <row r="163" spans="2:76" x14ac:dyDescent="0.3">
      <c r="B163" s="301"/>
      <c r="C163" s="288"/>
      <c r="D163" s="288"/>
      <c r="E163" s="368"/>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5"/>
      <c r="AW163" s="325"/>
      <c r="AX163" s="325"/>
      <c r="AY163" s="325"/>
      <c r="AZ163" s="325"/>
      <c r="BA163" s="325"/>
      <c r="BB163" s="325"/>
      <c r="BC163" s="325"/>
      <c r="BD163" s="325"/>
      <c r="BE163" s="325"/>
      <c r="BF163" s="325"/>
      <c r="BG163" s="325"/>
      <c r="BH163" s="325"/>
      <c r="BI163" s="325"/>
      <c r="BJ163" s="325"/>
      <c r="BK163" s="325"/>
      <c r="BL163" s="325"/>
      <c r="BM163" s="325"/>
      <c r="BN163" s="325"/>
      <c r="BO163" s="325"/>
      <c r="BP163" s="325"/>
      <c r="BQ163" s="325"/>
      <c r="BR163" s="325"/>
      <c r="BS163" s="325"/>
      <c r="BT163" s="325"/>
      <c r="BU163" s="325"/>
      <c r="BV163" s="325"/>
      <c r="BX163" s="296"/>
    </row>
    <row r="164" spans="2:76" x14ac:dyDescent="0.3">
      <c r="B164" s="301"/>
      <c r="C164" s="288"/>
      <c r="D164" s="288"/>
      <c r="E164" s="368"/>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c r="BX164" s="296"/>
    </row>
    <row r="165" spans="2:76" x14ac:dyDescent="0.3">
      <c r="B165" s="301"/>
      <c r="C165" s="288"/>
      <c r="D165" s="288"/>
      <c r="E165" s="368"/>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5"/>
      <c r="AY165" s="325"/>
      <c r="AZ165" s="325"/>
      <c r="BA165" s="325"/>
      <c r="BB165" s="325"/>
      <c r="BC165" s="325"/>
      <c r="BD165" s="325"/>
      <c r="BE165" s="325"/>
      <c r="BF165" s="325"/>
      <c r="BG165" s="325"/>
      <c r="BH165" s="325"/>
      <c r="BI165" s="325"/>
      <c r="BJ165" s="325"/>
      <c r="BK165" s="325"/>
      <c r="BL165" s="325"/>
      <c r="BM165" s="325"/>
      <c r="BN165" s="325"/>
      <c r="BO165" s="325"/>
      <c r="BP165" s="325"/>
      <c r="BQ165" s="325"/>
      <c r="BR165" s="325"/>
      <c r="BS165" s="325"/>
      <c r="BT165" s="325"/>
      <c r="BU165" s="325"/>
      <c r="BV165" s="325"/>
      <c r="BX165" s="296"/>
    </row>
    <row r="166" spans="2:76" x14ac:dyDescent="0.3">
      <c r="B166" s="301"/>
      <c r="C166" s="288"/>
      <c r="D166" s="288"/>
      <c r="E166" s="368"/>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c r="BX166" s="296"/>
    </row>
    <row r="167" spans="2:76" x14ac:dyDescent="0.3">
      <c r="B167" s="301"/>
      <c r="C167" s="288"/>
      <c r="D167" s="288"/>
      <c r="E167" s="368"/>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c r="BX167" s="296"/>
    </row>
    <row r="168" spans="2:76" x14ac:dyDescent="0.3">
      <c r="B168" s="301"/>
      <c r="C168" s="288"/>
      <c r="D168" s="288"/>
      <c r="E168" s="368"/>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X168" s="296"/>
    </row>
    <row r="169" spans="2:76" x14ac:dyDescent="0.3">
      <c r="B169" s="301"/>
      <c r="C169" s="288"/>
      <c r="D169" s="288"/>
      <c r="E169" s="368"/>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L169" s="325"/>
      <c r="AM169" s="325"/>
      <c r="AN169" s="325"/>
      <c r="AO169" s="325"/>
      <c r="AP169" s="325"/>
      <c r="AQ169" s="325"/>
      <c r="AR169" s="325"/>
      <c r="AS169" s="325"/>
      <c r="AT169" s="325"/>
      <c r="AU169" s="325"/>
      <c r="AV169" s="325"/>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c r="BX169" s="296"/>
    </row>
    <row r="170" spans="2:76" x14ac:dyDescent="0.3">
      <c r="B170" s="301"/>
      <c r="C170" s="288"/>
      <c r="D170" s="288"/>
      <c r="E170" s="368"/>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L170" s="325"/>
      <c r="AM170" s="325"/>
      <c r="AN170" s="325"/>
      <c r="AO170" s="325"/>
      <c r="AP170" s="325"/>
      <c r="AQ170" s="325"/>
      <c r="AR170" s="325"/>
      <c r="AS170" s="325"/>
      <c r="AT170" s="325"/>
      <c r="AU170" s="325"/>
      <c r="AV170" s="325"/>
      <c r="AW170" s="325"/>
      <c r="AX170" s="325"/>
      <c r="AY170" s="325"/>
      <c r="AZ170" s="325"/>
      <c r="BA170" s="325"/>
      <c r="BB170" s="325"/>
      <c r="BC170" s="325"/>
      <c r="BD170" s="325"/>
      <c r="BE170" s="325"/>
      <c r="BF170" s="325"/>
      <c r="BG170" s="325"/>
      <c r="BH170" s="325"/>
      <c r="BI170" s="325"/>
      <c r="BJ170" s="325"/>
      <c r="BK170" s="325"/>
      <c r="BL170" s="325"/>
      <c r="BM170" s="325"/>
      <c r="BN170" s="325"/>
      <c r="BO170" s="325"/>
      <c r="BP170" s="325"/>
      <c r="BQ170" s="325"/>
      <c r="BR170" s="325"/>
      <c r="BS170" s="325"/>
      <c r="BT170" s="325"/>
      <c r="BU170" s="325"/>
      <c r="BV170" s="325"/>
    </row>
    <row r="171" spans="2:76" x14ac:dyDescent="0.3">
      <c r="B171" s="301"/>
      <c r="C171" s="288"/>
      <c r="D171" s="288"/>
      <c r="E171" s="368"/>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5"/>
      <c r="BV171" s="325"/>
    </row>
    <row r="172" spans="2:76" x14ac:dyDescent="0.3">
      <c r="B172" s="301"/>
      <c r="C172" s="288"/>
      <c r="D172" s="288"/>
      <c r="E172" s="368"/>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row>
    <row r="173" spans="2:76" x14ac:dyDescent="0.3">
      <c r="B173" s="301"/>
      <c r="C173" s="288"/>
      <c r="D173" s="288"/>
      <c r="E173" s="368"/>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5"/>
      <c r="AO173" s="325"/>
      <c r="AP173" s="325"/>
      <c r="AQ173" s="325"/>
      <c r="AR173" s="325"/>
      <c r="AS173" s="325"/>
      <c r="AT173" s="325"/>
      <c r="AU173" s="325"/>
      <c r="AV173" s="325"/>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row>
    <row r="174" spans="2:76" x14ac:dyDescent="0.3">
      <c r="B174" s="301"/>
      <c r="C174" s="288"/>
      <c r="D174" s="288"/>
      <c r="E174" s="368"/>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c r="BV174" s="325"/>
    </row>
    <row r="175" spans="2:76" x14ac:dyDescent="0.3">
      <c r="B175" s="301"/>
      <c r="C175" s="288"/>
      <c r="D175" s="288"/>
      <c r="E175" s="368"/>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row>
    <row r="176" spans="2:76" x14ac:dyDescent="0.3">
      <c r="B176" s="301"/>
      <c r="C176" s="301"/>
      <c r="D176" s="301"/>
      <c r="E176" s="368"/>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325"/>
      <c r="AO176" s="325"/>
      <c r="AP176" s="325"/>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row>
    <row r="177" spans="2:74" x14ac:dyDescent="0.3">
      <c r="B177" s="301"/>
      <c r="C177" s="288"/>
      <c r="D177" s="288"/>
      <c r="E177" s="368"/>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5"/>
      <c r="AO177" s="325"/>
      <c r="AP177" s="325"/>
      <c r="AQ177" s="325"/>
      <c r="AR177" s="325"/>
      <c r="AS177" s="325"/>
      <c r="AT177" s="325"/>
      <c r="AU177" s="325"/>
      <c r="AV177" s="325"/>
      <c r="AW177" s="325"/>
      <c r="AX177" s="325"/>
      <c r="AY177" s="325"/>
      <c r="AZ177" s="325"/>
      <c r="BA177" s="325"/>
      <c r="BB177" s="325"/>
      <c r="BC177" s="325"/>
      <c r="BD177" s="325"/>
      <c r="BE177" s="325"/>
      <c r="BF177" s="325"/>
      <c r="BG177" s="325"/>
      <c r="BH177" s="325"/>
      <c r="BI177" s="325"/>
      <c r="BJ177" s="325"/>
      <c r="BK177" s="325"/>
      <c r="BL177" s="325"/>
      <c r="BM177" s="325"/>
      <c r="BN177" s="325"/>
      <c r="BO177" s="325"/>
      <c r="BP177" s="325"/>
      <c r="BQ177" s="325"/>
      <c r="BR177" s="325"/>
      <c r="BS177" s="325"/>
      <c r="BT177" s="325"/>
      <c r="BU177" s="325"/>
      <c r="BV177" s="325"/>
    </row>
    <row r="178" spans="2:74" x14ac:dyDescent="0.3">
      <c r="C178" s="288"/>
      <c r="D178" s="288"/>
      <c r="E178" s="368"/>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c r="BD178" s="325"/>
      <c r="BE178" s="325"/>
      <c r="BF178" s="325"/>
      <c r="BG178" s="325"/>
      <c r="BH178" s="325"/>
      <c r="BI178" s="325"/>
      <c r="BJ178" s="325"/>
      <c r="BK178" s="325"/>
      <c r="BL178" s="325"/>
      <c r="BM178" s="325"/>
      <c r="BN178" s="325"/>
      <c r="BO178" s="325"/>
      <c r="BP178" s="325"/>
      <c r="BQ178" s="325"/>
      <c r="BR178" s="325"/>
      <c r="BS178" s="325"/>
      <c r="BT178" s="325"/>
      <c r="BU178" s="325"/>
      <c r="BV178" s="325"/>
    </row>
    <row r="179" spans="2:74" x14ac:dyDescent="0.3">
      <c r="B179" s="301"/>
      <c r="C179" s="288"/>
      <c r="D179" s="288"/>
      <c r="E179" s="368"/>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5"/>
      <c r="AN179" s="325"/>
      <c r="AO179" s="325"/>
      <c r="AP179" s="325"/>
      <c r="AQ179" s="325"/>
      <c r="AR179" s="325"/>
      <c r="AS179" s="325"/>
      <c r="AT179" s="325"/>
      <c r="AU179" s="325"/>
      <c r="AV179" s="325"/>
      <c r="AW179" s="325"/>
      <c r="AX179" s="325"/>
      <c r="AY179" s="325"/>
      <c r="AZ179" s="325"/>
      <c r="BA179" s="325"/>
      <c r="BB179" s="325"/>
      <c r="BC179" s="325"/>
      <c r="BD179" s="325"/>
      <c r="BE179" s="325"/>
      <c r="BF179" s="325"/>
      <c r="BG179" s="325"/>
      <c r="BH179" s="325"/>
      <c r="BI179" s="325"/>
      <c r="BJ179" s="325"/>
      <c r="BK179" s="325"/>
      <c r="BL179" s="325"/>
      <c r="BM179" s="325"/>
      <c r="BN179" s="325"/>
      <c r="BO179" s="325"/>
      <c r="BP179" s="325"/>
      <c r="BQ179" s="325"/>
      <c r="BR179" s="325"/>
      <c r="BS179" s="325"/>
      <c r="BT179" s="325"/>
      <c r="BU179" s="325"/>
      <c r="BV179" s="325"/>
    </row>
    <row r="180" spans="2:74" x14ac:dyDescent="0.3">
      <c r="B180" s="301"/>
      <c r="C180" s="288"/>
      <c r="D180" s="288"/>
      <c r="E180" s="368"/>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25"/>
      <c r="AY180" s="325"/>
      <c r="AZ180" s="325"/>
      <c r="BA180" s="325"/>
      <c r="BB180" s="325"/>
      <c r="BC180" s="325"/>
      <c r="BD180" s="325"/>
      <c r="BE180" s="325"/>
      <c r="BF180" s="325"/>
      <c r="BG180" s="325"/>
      <c r="BH180" s="325"/>
      <c r="BI180" s="325"/>
      <c r="BJ180" s="325"/>
      <c r="BK180" s="325"/>
      <c r="BL180" s="325"/>
      <c r="BM180" s="325"/>
      <c r="BN180" s="325"/>
      <c r="BO180" s="325"/>
      <c r="BP180" s="325"/>
      <c r="BQ180" s="325"/>
      <c r="BR180" s="325"/>
      <c r="BS180" s="325"/>
      <c r="BT180" s="325"/>
      <c r="BU180" s="325"/>
      <c r="BV180" s="325"/>
    </row>
    <row r="181" spans="2:74" x14ac:dyDescent="0.3">
      <c r="B181" s="301"/>
      <c r="C181" s="288"/>
      <c r="D181" s="288"/>
      <c r="E181" s="368"/>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5"/>
      <c r="BR181" s="325"/>
      <c r="BS181" s="325"/>
      <c r="BT181" s="325"/>
      <c r="BU181" s="325"/>
      <c r="BV181" s="325"/>
    </row>
    <row r="182" spans="2:74" x14ac:dyDescent="0.3">
      <c r="B182" s="301"/>
      <c r="C182" s="288"/>
      <c r="D182" s="288"/>
      <c r="E182" s="368"/>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5"/>
      <c r="AO182" s="325"/>
      <c r="AP182" s="325"/>
      <c r="AQ182" s="325"/>
      <c r="AR182" s="325"/>
      <c r="AS182" s="325"/>
      <c r="AT182" s="325"/>
      <c r="AU182" s="325"/>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c r="BS182" s="325"/>
      <c r="BT182" s="325"/>
      <c r="BU182" s="325"/>
      <c r="BV182" s="325"/>
    </row>
    <row r="183" spans="2:74" x14ac:dyDescent="0.3">
      <c r="B183" s="301"/>
      <c r="C183" s="288"/>
      <c r="D183" s="288"/>
      <c r="E183" s="368"/>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5"/>
      <c r="AZ183" s="325"/>
      <c r="BA183" s="325"/>
      <c r="BB183" s="325"/>
      <c r="BC183" s="325"/>
      <c r="BD183" s="325"/>
      <c r="BE183" s="325"/>
      <c r="BF183" s="325"/>
      <c r="BG183" s="325"/>
      <c r="BH183" s="325"/>
      <c r="BI183" s="325"/>
      <c r="BJ183" s="325"/>
      <c r="BK183" s="325"/>
      <c r="BL183" s="325"/>
      <c r="BM183" s="325"/>
      <c r="BN183" s="325"/>
      <c r="BO183" s="325"/>
      <c r="BP183" s="325"/>
      <c r="BQ183" s="325"/>
      <c r="BR183" s="325"/>
      <c r="BS183" s="325"/>
      <c r="BT183" s="325"/>
      <c r="BU183" s="325"/>
      <c r="BV183" s="325"/>
    </row>
    <row r="184" spans="2:74" x14ac:dyDescent="0.3">
      <c r="B184" s="301"/>
      <c r="C184" s="288"/>
      <c r="D184" s="288"/>
      <c r="E184" s="368"/>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325"/>
      <c r="AO184" s="325"/>
      <c r="AP184" s="325"/>
      <c r="AQ184" s="325"/>
      <c r="AR184" s="325"/>
      <c r="AS184" s="325"/>
      <c r="AT184" s="325"/>
      <c r="AU184" s="325"/>
      <c r="AV184" s="325"/>
      <c r="AW184" s="325"/>
      <c r="AX184" s="325"/>
      <c r="AY184" s="325"/>
      <c r="AZ184" s="325"/>
      <c r="BA184" s="325"/>
      <c r="BB184" s="325"/>
      <c r="BC184" s="325"/>
      <c r="BD184" s="325"/>
      <c r="BE184" s="325"/>
      <c r="BF184" s="325"/>
      <c r="BG184" s="325"/>
      <c r="BH184" s="325"/>
      <c r="BI184" s="325"/>
      <c r="BJ184" s="325"/>
      <c r="BK184" s="325"/>
      <c r="BL184" s="325"/>
      <c r="BM184" s="325"/>
      <c r="BN184" s="325"/>
      <c r="BO184" s="325"/>
      <c r="BP184" s="325"/>
      <c r="BQ184" s="325"/>
      <c r="BR184" s="325"/>
      <c r="BS184" s="325"/>
      <c r="BT184" s="325"/>
      <c r="BU184" s="325"/>
      <c r="BV184" s="325"/>
    </row>
    <row r="185" spans="2:74" x14ac:dyDescent="0.3">
      <c r="B185" s="301"/>
      <c r="C185" s="288"/>
      <c r="D185" s="288"/>
      <c r="E185" s="368"/>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row>
    <row r="186" spans="2:74" x14ac:dyDescent="0.3">
      <c r="B186" s="301"/>
      <c r="C186" s="288"/>
      <c r="D186" s="288"/>
      <c r="E186" s="368"/>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5"/>
      <c r="AO186" s="325"/>
      <c r="AP186" s="325"/>
      <c r="AQ186" s="325"/>
      <c r="AR186" s="325"/>
      <c r="AS186" s="325"/>
      <c r="AT186" s="325"/>
      <c r="AU186" s="325"/>
      <c r="AV186" s="325"/>
      <c r="AW186" s="325"/>
      <c r="AX186" s="325"/>
      <c r="AY186" s="325"/>
      <c r="AZ186" s="325"/>
      <c r="BA186" s="325"/>
      <c r="BB186" s="325"/>
      <c r="BC186" s="325"/>
      <c r="BD186" s="325"/>
      <c r="BE186" s="325"/>
      <c r="BF186" s="325"/>
      <c r="BG186" s="325"/>
      <c r="BH186" s="325"/>
      <c r="BI186" s="325"/>
      <c r="BJ186" s="325"/>
      <c r="BK186" s="325"/>
      <c r="BL186" s="325"/>
      <c r="BM186" s="325"/>
      <c r="BN186" s="325"/>
      <c r="BO186" s="325"/>
      <c r="BP186" s="325"/>
      <c r="BQ186" s="325"/>
      <c r="BR186" s="325"/>
      <c r="BS186" s="325"/>
      <c r="BT186" s="325"/>
      <c r="BU186" s="325"/>
      <c r="BV186" s="325"/>
    </row>
    <row r="187" spans="2:74" x14ac:dyDescent="0.3">
      <c r="B187" s="301"/>
      <c r="C187" s="288"/>
      <c r="D187" s="288"/>
      <c r="E187" s="368"/>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c r="BD187" s="325"/>
      <c r="BE187" s="325"/>
      <c r="BF187" s="325"/>
      <c r="BG187" s="325"/>
      <c r="BH187" s="325"/>
      <c r="BI187" s="325"/>
      <c r="BJ187" s="325"/>
      <c r="BK187" s="325"/>
      <c r="BL187" s="325"/>
      <c r="BM187" s="325"/>
      <c r="BN187" s="325"/>
      <c r="BO187" s="325"/>
      <c r="BP187" s="325"/>
      <c r="BQ187" s="325"/>
      <c r="BR187" s="325"/>
      <c r="BS187" s="325"/>
      <c r="BT187" s="325"/>
      <c r="BU187" s="325"/>
      <c r="BV187" s="325"/>
    </row>
    <row r="188" spans="2:74" x14ac:dyDescent="0.3">
      <c r="B188" s="301"/>
      <c r="C188" s="301"/>
      <c r="D188" s="301"/>
      <c r="E188" s="368"/>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325"/>
      <c r="AO188" s="325"/>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25"/>
      <c r="BK188" s="325"/>
      <c r="BL188" s="325"/>
      <c r="BM188" s="325"/>
      <c r="BN188" s="325"/>
      <c r="BO188" s="325"/>
      <c r="BP188" s="325"/>
      <c r="BQ188" s="325"/>
      <c r="BR188" s="325"/>
      <c r="BS188" s="325"/>
      <c r="BT188" s="325"/>
      <c r="BU188" s="325"/>
      <c r="BV188" s="325"/>
    </row>
    <row r="189" spans="2:74" x14ac:dyDescent="0.3">
      <c r="B189" s="301"/>
      <c r="C189" s="288"/>
      <c r="D189" s="288"/>
      <c r="E189" s="368"/>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5"/>
      <c r="AO189" s="325"/>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25"/>
      <c r="BK189" s="325"/>
      <c r="BL189" s="325"/>
      <c r="BM189" s="325"/>
      <c r="BN189" s="325"/>
      <c r="BO189" s="325"/>
      <c r="BP189" s="325"/>
      <c r="BQ189" s="325"/>
      <c r="BR189" s="325"/>
      <c r="BS189" s="325"/>
      <c r="BT189" s="325"/>
      <c r="BU189" s="325"/>
      <c r="BV189" s="325"/>
    </row>
    <row r="190" spans="2:74" x14ac:dyDescent="0.3">
      <c r="B190" s="301"/>
      <c r="C190" s="288"/>
      <c r="D190" s="288"/>
      <c r="E190" s="368"/>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5"/>
      <c r="AY190" s="325"/>
      <c r="AZ190" s="325"/>
      <c r="BA190" s="325"/>
      <c r="BB190" s="325"/>
      <c r="BC190" s="325"/>
      <c r="BD190" s="325"/>
      <c r="BE190" s="325"/>
      <c r="BF190" s="325"/>
      <c r="BG190" s="325"/>
      <c r="BH190" s="325"/>
      <c r="BI190" s="325"/>
      <c r="BJ190" s="325"/>
      <c r="BK190" s="325"/>
      <c r="BL190" s="325"/>
      <c r="BM190" s="325"/>
      <c r="BN190" s="325"/>
      <c r="BO190" s="325"/>
      <c r="BP190" s="325"/>
      <c r="BQ190" s="325"/>
      <c r="BR190" s="325"/>
      <c r="BS190" s="325"/>
      <c r="BT190" s="325"/>
      <c r="BU190" s="325"/>
      <c r="BV190" s="325"/>
    </row>
    <row r="191" spans="2:74" x14ac:dyDescent="0.3">
      <c r="B191" s="301"/>
      <c r="C191" s="288"/>
      <c r="D191" s="288"/>
      <c r="E191" s="368"/>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5"/>
      <c r="AY191" s="325"/>
      <c r="AZ191" s="325"/>
      <c r="BA191" s="325"/>
      <c r="BB191" s="325"/>
      <c r="BC191" s="325"/>
      <c r="BD191" s="325"/>
      <c r="BE191" s="325"/>
      <c r="BF191" s="325"/>
      <c r="BG191" s="325"/>
      <c r="BH191" s="325"/>
      <c r="BI191" s="325"/>
      <c r="BJ191" s="325"/>
      <c r="BK191" s="325"/>
      <c r="BL191" s="325"/>
      <c r="BM191" s="325"/>
      <c r="BN191" s="325"/>
      <c r="BO191" s="325"/>
      <c r="BP191" s="325"/>
      <c r="BQ191" s="325"/>
      <c r="BR191" s="325"/>
      <c r="BS191" s="325"/>
      <c r="BT191" s="325"/>
      <c r="BU191" s="325"/>
      <c r="BV191" s="325"/>
    </row>
    <row r="192" spans="2:74" x14ac:dyDescent="0.3">
      <c r="B192" s="301"/>
      <c r="C192" s="288"/>
      <c r="D192" s="288"/>
      <c r="E192" s="368"/>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row>
    <row r="193" spans="2:74" x14ac:dyDescent="0.3">
      <c r="B193" s="301"/>
      <c r="C193" s="288"/>
      <c r="D193" s="288"/>
      <c r="E193" s="368"/>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row>
    <row r="194" spans="2:74" x14ac:dyDescent="0.3">
      <c r="B194" s="301"/>
      <c r="C194" s="288"/>
      <c r="D194" s="288"/>
      <c r="E194" s="368"/>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25"/>
      <c r="BK194" s="325"/>
      <c r="BL194" s="325"/>
      <c r="BM194" s="325"/>
      <c r="BN194" s="325"/>
      <c r="BO194" s="325"/>
      <c r="BP194" s="325"/>
      <c r="BQ194" s="325"/>
      <c r="BR194" s="325"/>
      <c r="BS194" s="325"/>
      <c r="BT194" s="325"/>
      <c r="BU194" s="325"/>
      <c r="BV194" s="325"/>
    </row>
    <row r="195" spans="2:74" x14ac:dyDescent="0.3">
      <c r="B195" s="301"/>
      <c r="C195" s="288"/>
      <c r="D195" s="288"/>
      <c r="E195" s="368"/>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25"/>
      <c r="BK195" s="325"/>
      <c r="BL195" s="325"/>
      <c r="BM195" s="325"/>
      <c r="BN195" s="325"/>
      <c r="BO195" s="325"/>
      <c r="BP195" s="325"/>
      <c r="BQ195" s="325"/>
      <c r="BR195" s="325"/>
      <c r="BS195" s="325"/>
      <c r="BT195" s="325"/>
      <c r="BU195" s="325"/>
      <c r="BV195" s="325"/>
    </row>
    <row r="196" spans="2:74" x14ac:dyDescent="0.3">
      <c r="B196" s="301"/>
      <c r="C196" s="288"/>
      <c r="D196" s="288"/>
      <c r="E196" s="368"/>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325"/>
      <c r="BJ196" s="325"/>
      <c r="BK196" s="325"/>
      <c r="BL196" s="325"/>
      <c r="BM196" s="325"/>
      <c r="BN196" s="325"/>
      <c r="BO196" s="325"/>
      <c r="BP196" s="325"/>
      <c r="BQ196" s="325"/>
      <c r="BR196" s="325"/>
      <c r="BS196" s="325"/>
      <c r="BT196" s="325"/>
      <c r="BU196" s="325"/>
      <c r="BV196" s="325"/>
    </row>
    <row r="197" spans="2:74" x14ac:dyDescent="0.3">
      <c r="B197" s="301"/>
      <c r="C197" s="288"/>
      <c r="D197" s="288"/>
      <c r="E197" s="368"/>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325"/>
      <c r="BI197" s="325"/>
      <c r="BJ197" s="325"/>
      <c r="BK197" s="325"/>
      <c r="BL197" s="325"/>
      <c r="BM197" s="325"/>
      <c r="BN197" s="325"/>
      <c r="BO197" s="325"/>
      <c r="BP197" s="325"/>
      <c r="BQ197" s="325"/>
      <c r="BR197" s="325"/>
      <c r="BS197" s="325"/>
      <c r="BT197" s="325"/>
      <c r="BU197" s="325"/>
      <c r="BV197" s="325"/>
    </row>
    <row r="198" spans="2:74" x14ac:dyDescent="0.3">
      <c r="B198" s="301"/>
      <c r="C198" s="288"/>
      <c r="D198" s="288"/>
      <c r="E198" s="368"/>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25"/>
      <c r="BJ198" s="325"/>
      <c r="BK198" s="325"/>
      <c r="BL198" s="325"/>
      <c r="BM198" s="325"/>
      <c r="BN198" s="325"/>
      <c r="BO198" s="325"/>
      <c r="BP198" s="325"/>
      <c r="BQ198" s="325"/>
      <c r="BR198" s="325"/>
      <c r="BS198" s="325"/>
      <c r="BT198" s="325"/>
      <c r="BU198" s="325"/>
      <c r="BV198" s="325"/>
    </row>
    <row r="199" spans="2:74" x14ac:dyDescent="0.3">
      <c r="B199" s="301"/>
      <c r="C199" s="288"/>
      <c r="D199" s="288"/>
      <c r="E199" s="368"/>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25"/>
      <c r="BQ199" s="325"/>
      <c r="BR199" s="325"/>
      <c r="BS199" s="325"/>
      <c r="BT199" s="325"/>
      <c r="BU199" s="325"/>
      <c r="BV199" s="325"/>
    </row>
    <row r="200" spans="2:74" x14ac:dyDescent="0.3">
      <c r="B200" s="301"/>
      <c r="C200" s="288"/>
      <c r="D200" s="288"/>
      <c r="E200" s="368"/>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25"/>
      <c r="BJ200" s="325"/>
      <c r="BK200" s="325"/>
      <c r="BL200" s="325"/>
      <c r="BM200" s="325"/>
      <c r="BN200" s="325"/>
      <c r="BO200" s="325"/>
      <c r="BP200" s="325"/>
      <c r="BQ200" s="325"/>
      <c r="BR200" s="325"/>
      <c r="BS200" s="325"/>
      <c r="BT200" s="325"/>
      <c r="BU200" s="325"/>
      <c r="BV200" s="325"/>
    </row>
    <row r="201" spans="2:74" x14ac:dyDescent="0.3">
      <c r="B201" s="301"/>
      <c r="C201" s="301"/>
      <c r="D201" s="301"/>
      <c r="E201" s="368"/>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c r="BC201" s="325"/>
      <c r="BD201" s="325"/>
      <c r="BE201" s="325"/>
      <c r="BF201" s="325"/>
      <c r="BG201" s="325"/>
      <c r="BH201" s="325"/>
      <c r="BI201" s="325"/>
      <c r="BJ201" s="325"/>
      <c r="BK201" s="325"/>
      <c r="BL201" s="325"/>
      <c r="BM201" s="325"/>
      <c r="BN201" s="325"/>
      <c r="BO201" s="325"/>
      <c r="BP201" s="325"/>
      <c r="BQ201" s="325"/>
      <c r="BR201" s="325"/>
      <c r="BS201" s="325"/>
      <c r="BT201" s="325"/>
      <c r="BU201" s="325"/>
      <c r="BV201" s="325"/>
    </row>
    <row r="202" spans="2:74" x14ac:dyDescent="0.3">
      <c r="B202" s="301"/>
      <c r="C202" s="301"/>
      <c r="D202" s="301"/>
      <c r="E202" s="368"/>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325"/>
    </row>
    <row r="203" spans="2:74" x14ac:dyDescent="0.3">
      <c r="B203" s="301"/>
      <c r="C203" s="288"/>
      <c r="D203" s="288"/>
      <c r="E203" s="368"/>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c r="BC203" s="325"/>
      <c r="BD203" s="325"/>
      <c r="BE203" s="325"/>
      <c r="BF203" s="325"/>
      <c r="BG203" s="325"/>
      <c r="BH203" s="325"/>
      <c r="BI203" s="325"/>
      <c r="BJ203" s="325"/>
      <c r="BK203" s="325"/>
      <c r="BL203" s="325"/>
      <c r="BM203" s="325"/>
      <c r="BN203" s="325"/>
      <c r="BO203" s="325"/>
      <c r="BP203" s="325"/>
      <c r="BQ203" s="325"/>
      <c r="BR203" s="325"/>
      <c r="BS203" s="325"/>
      <c r="BT203" s="325"/>
      <c r="BU203" s="325"/>
      <c r="BV203" s="325"/>
    </row>
    <row r="204" spans="2:74" x14ac:dyDescent="0.3">
      <c r="B204" s="301"/>
      <c r="C204" s="288"/>
      <c r="D204" s="288"/>
      <c r="E204" s="368"/>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row>
    <row r="205" spans="2:74" x14ac:dyDescent="0.3">
      <c r="B205" s="301"/>
      <c r="C205" s="288"/>
      <c r="D205" s="288"/>
      <c r="E205" s="368"/>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5"/>
      <c r="BQ205" s="325"/>
      <c r="BR205" s="325"/>
      <c r="BS205" s="325"/>
      <c r="BT205" s="325"/>
      <c r="BU205" s="325"/>
      <c r="BV205" s="325"/>
    </row>
    <row r="221" spans="2:74" x14ac:dyDescent="0.3">
      <c r="E221" s="369"/>
      <c r="F221" s="369"/>
      <c r="G221" s="369"/>
      <c r="H221" s="369"/>
      <c r="I221" s="369"/>
      <c r="J221" s="369"/>
      <c r="K221" s="369"/>
      <c r="L221" s="369"/>
      <c r="M221" s="369"/>
      <c r="N221" s="369"/>
      <c r="O221" s="369"/>
      <c r="P221" s="369"/>
      <c r="Q221" s="369"/>
      <c r="R221" s="369"/>
      <c r="S221" s="369"/>
      <c r="T221" s="369"/>
      <c r="U221" s="369"/>
      <c r="V221" s="369"/>
      <c r="W221" s="369"/>
      <c r="X221" s="369"/>
      <c r="Y221" s="369"/>
      <c r="Z221" s="369"/>
      <c r="AA221" s="369"/>
      <c r="AB221" s="369"/>
      <c r="AC221" s="369"/>
      <c r="AD221" s="369"/>
      <c r="AE221" s="369"/>
      <c r="AF221" s="369"/>
      <c r="AG221" s="369"/>
      <c r="AH221" s="369"/>
      <c r="AI221" s="369"/>
      <c r="AJ221" s="369"/>
      <c r="AK221" s="369"/>
      <c r="AL221" s="369"/>
      <c r="AM221" s="369"/>
      <c r="AN221" s="369"/>
      <c r="AO221" s="369"/>
      <c r="AP221" s="369"/>
      <c r="AQ221" s="369"/>
      <c r="AR221" s="369"/>
      <c r="AS221" s="369"/>
      <c r="AT221" s="369"/>
      <c r="AU221" s="369"/>
      <c r="AV221" s="369"/>
      <c r="AW221" s="369"/>
      <c r="AX221" s="369"/>
      <c r="AY221" s="369"/>
      <c r="AZ221" s="369"/>
      <c r="BA221" s="369"/>
      <c r="BB221" s="369"/>
      <c r="BC221" s="369"/>
      <c r="BD221" s="369"/>
      <c r="BE221" s="369"/>
      <c r="BF221" s="369"/>
      <c r="BG221" s="369"/>
      <c r="BH221" s="369"/>
      <c r="BI221" s="369"/>
      <c r="BJ221" s="369"/>
      <c r="BK221" s="369"/>
      <c r="BL221" s="369"/>
      <c r="BM221" s="369"/>
      <c r="BN221" s="369"/>
      <c r="BO221" s="369"/>
      <c r="BP221" s="369"/>
      <c r="BQ221" s="369"/>
      <c r="BR221" s="369"/>
      <c r="BS221" s="369"/>
      <c r="BT221" s="369"/>
      <c r="BU221" s="369"/>
      <c r="BV221" s="369"/>
    </row>
    <row r="222" spans="2:74" x14ac:dyDescent="0.3">
      <c r="B222" s="301"/>
      <c r="C222" s="288"/>
      <c r="D222" s="288"/>
      <c r="E222" s="368"/>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c r="AG222" s="325"/>
      <c r="AH222" s="325"/>
      <c r="AI222" s="325"/>
      <c r="AJ222" s="325"/>
      <c r="AK222" s="325"/>
      <c r="AL222" s="325"/>
      <c r="AM222" s="325"/>
      <c r="AN222" s="325"/>
      <c r="AO222" s="325"/>
      <c r="AP222" s="325"/>
      <c r="AQ222" s="325"/>
      <c r="AR222" s="325"/>
      <c r="AS222" s="325"/>
      <c r="AT222" s="325"/>
      <c r="AU222" s="325"/>
      <c r="AV222" s="325"/>
      <c r="AW222" s="325"/>
      <c r="AX222" s="325"/>
      <c r="AY222" s="325"/>
      <c r="AZ222" s="325"/>
      <c r="BA222" s="325"/>
      <c r="BB222" s="325"/>
      <c r="BC222" s="325"/>
      <c r="BD222" s="325"/>
      <c r="BE222" s="325"/>
      <c r="BF222" s="325"/>
      <c r="BG222" s="325"/>
      <c r="BH222" s="325"/>
      <c r="BI222" s="325"/>
      <c r="BJ222" s="325"/>
      <c r="BK222" s="325"/>
      <c r="BL222" s="325"/>
      <c r="BM222" s="325"/>
      <c r="BN222" s="325"/>
      <c r="BO222" s="325"/>
      <c r="BP222" s="325"/>
      <c r="BQ222" s="325"/>
      <c r="BR222" s="325"/>
      <c r="BS222" s="325"/>
      <c r="BT222" s="325"/>
      <c r="BU222" s="325"/>
      <c r="BV222" s="325"/>
    </row>
    <row r="223" spans="2:74" x14ac:dyDescent="0.3">
      <c r="B223" s="301"/>
      <c r="C223" s="288"/>
      <c r="D223" s="288"/>
      <c r="E223" s="368"/>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c r="AN223" s="325"/>
      <c r="AO223" s="325"/>
      <c r="AP223" s="325"/>
      <c r="AQ223" s="325"/>
      <c r="AR223" s="325"/>
      <c r="AS223" s="325"/>
      <c r="AT223" s="325"/>
      <c r="AU223" s="325"/>
      <c r="AV223" s="325"/>
      <c r="AW223" s="325"/>
      <c r="AX223" s="325"/>
      <c r="AY223" s="325"/>
      <c r="AZ223" s="325"/>
      <c r="BA223" s="325"/>
      <c r="BB223" s="325"/>
      <c r="BC223" s="325"/>
      <c r="BD223" s="325"/>
      <c r="BE223" s="325"/>
      <c r="BF223" s="325"/>
      <c r="BG223" s="325"/>
      <c r="BH223" s="325"/>
      <c r="BI223" s="325"/>
      <c r="BJ223" s="325"/>
      <c r="BK223" s="325"/>
      <c r="BL223" s="325"/>
      <c r="BM223" s="325"/>
      <c r="BN223" s="325"/>
      <c r="BO223" s="325"/>
      <c r="BP223" s="325"/>
      <c r="BQ223" s="325"/>
      <c r="BR223" s="325"/>
      <c r="BS223" s="325"/>
      <c r="BT223" s="325"/>
      <c r="BU223" s="325"/>
      <c r="BV223" s="325"/>
    </row>
    <row r="224" spans="2:74" x14ac:dyDescent="0.3">
      <c r="B224" s="301"/>
      <c r="C224" s="288"/>
      <c r="D224" s="288"/>
      <c r="E224" s="368"/>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5"/>
      <c r="AY224" s="325"/>
      <c r="AZ224" s="325"/>
      <c r="BA224" s="325"/>
      <c r="BB224" s="325"/>
      <c r="BC224" s="325"/>
      <c r="BD224" s="325"/>
      <c r="BE224" s="325"/>
      <c r="BF224" s="325"/>
      <c r="BG224" s="325"/>
      <c r="BH224" s="325"/>
      <c r="BI224" s="325"/>
      <c r="BJ224" s="325"/>
      <c r="BK224" s="325"/>
      <c r="BL224" s="325"/>
      <c r="BM224" s="325"/>
      <c r="BN224" s="325"/>
      <c r="BO224" s="325"/>
      <c r="BP224" s="325"/>
      <c r="BQ224" s="325"/>
      <c r="BR224" s="325"/>
      <c r="BS224" s="325"/>
      <c r="BT224" s="325"/>
      <c r="BU224" s="325"/>
      <c r="BV224" s="325"/>
    </row>
    <row r="225" spans="2:74" x14ac:dyDescent="0.3">
      <c r="B225" s="301"/>
      <c r="C225" s="288"/>
      <c r="D225" s="288"/>
      <c r="E225" s="368"/>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325"/>
      <c r="BG225" s="325"/>
      <c r="BH225" s="325"/>
      <c r="BI225" s="325"/>
      <c r="BJ225" s="325"/>
      <c r="BK225" s="325"/>
      <c r="BL225" s="325"/>
      <c r="BM225" s="325"/>
      <c r="BN225" s="325"/>
      <c r="BO225" s="325"/>
      <c r="BP225" s="325"/>
      <c r="BQ225" s="325"/>
      <c r="BR225" s="325"/>
      <c r="BS225" s="325"/>
      <c r="BT225" s="325"/>
      <c r="BU225" s="325"/>
      <c r="BV225" s="325"/>
    </row>
    <row r="226" spans="2:74" x14ac:dyDescent="0.3">
      <c r="B226" s="301"/>
      <c r="C226" s="288"/>
      <c r="D226" s="288"/>
      <c r="E226" s="368"/>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5"/>
      <c r="BI226" s="325"/>
      <c r="BJ226" s="325"/>
      <c r="BK226" s="325"/>
      <c r="BL226" s="325"/>
      <c r="BM226" s="325"/>
      <c r="BN226" s="325"/>
      <c r="BO226" s="325"/>
      <c r="BP226" s="325"/>
      <c r="BQ226" s="325"/>
      <c r="BR226" s="325"/>
      <c r="BS226" s="325"/>
      <c r="BT226" s="325"/>
      <c r="BU226" s="325"/>
      <c r="BV226" s="325"/>
    </row>
    <row r="227" spans="2:74" x14ac:dyDescent="0.3">
      <c r="B227" s="301"/>
      <c r="C227" s="288"/>
      <c r="D227" s="288"/>
      <c r="E227" s="368"/>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row>
    <row r="228" spans="2:74" x14ac:dyDescent="0.3">
      <c r="B228" s="301"/>
      <c r="C228" s="288"/>
      <c r="D228" s="288"/>
      <c r="E228" s="368"/>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row>
    <row r="229" spans="2:74" x14ac:dyDescent="0.3">
      <c r="B229" s="301"/>
      <c r="C229" s="288"/>
      <c r="D229" s="288"/>
      <c r="E229" s="368"/>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325"/>
    </row>
    <row r="230" spans="2:74" x14ac:dyDescent="0.3">
      <c r="B230" s="301"/>
      <c r="C230" s="288"/>
      <c r="D230" s="288"/>
      <c r="E230" s="368"/>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row>
    <row r="231" spans="2:74" x14ac:dyDescent="0.3">
      <c r="B231" s="301"/>
      <c r="C231" s="288"/>
      <c r="D231" s="288"/>
      <c r="E231" s="368"/>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row>
    <row r="232" spans="2:74" x14ac:dyDescent="0.3">
      <c r="B232" s="301"/>
      <c r="C232" s="288"/>
      <c r="D232" s="288"/>
      <c r="E232" s="368"/>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row>
    <row r="233" spans="2:74" x14ac:dyDescent="0.3">
      <c r="B233" s="301"/>
      <c r="C233" s="288"/>
      <c r="D233" s="288"/>
      <c r="E233" s="368"/>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row>
    <row r="234" spans="2:74" x14ac:dyDescent="0.3">
      <c r="B234" s="301"/>
      <c r="C234" s="288"/>
      <c r="D234" s="288"/>
      <c r="E234" s="368"/>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325"/>
      <c r="AD234" s="325"/>
      <c r="AE234" s="325"/>
      <c r="AF234" s="325"/>
      <c r="AG234" s="325"/>
      <c r="AH234" s="325"/>
      <c r="AI234" s="325"/>
      <c r="AJ234" s="325"/>
      <c r="AK234" s="325"/>
      <c r="AL234" s="325"/>
      <c r="AM234" s="325"/>
      <c r="AN234" s="325"/>
      <c r="AO234" s="325"/>
      <c r="AP234" s="325"/>
      <c r="AQ234" s="325"/>
      <c r="AR234" s="325"/>
      <c r="AS234" s="325"/>
      <c r="AT234" s="325"/>
      <c r="AU234" s="325"/>
      <c r="AV234" s="325"/>
      <c r="AW234" s="325"/>
      <c r="AX234" s="325"/>
      <c r="AY234" s="325"/>
      <c r="AZ234" s="325"/>
      <c r="BA234" s="325"/>
      <c r="BB234" s="325"/>
      <c r="BC234" s="325"/>
      <c r="BD234" s="325"/>
      <c r="BE234" s="325"/>
      <c r="BF234" s="325"/>
      <c r="BG234" s="325"/>
      <c r="BH234" s="325"/>
      <c r="BI234" s="325"/>
      <c r="BJ234" s="325"/>
      <c r="BK234" s="325"/>
      <c r="BL234" s="325"/>
      <c r="BM234" s="325"/>
      <c r="BN234" s="325"/>
      <c r="BO234" s="325"/>
      <c r="BP234" s="325"/>
      <c r="BQ234" s="325"/>
      <c r="BR234" s="325"/>
      <c r="BS234" s="325"/>
      <c r="BT234" s="325"/>
      <c r="BU234" s="325"/>
      <c r="BV234" s="325"/>
    </row>
    <row r="235" spans="2:74" x14ac:dyDescent="0.3">
      <c r="B235" s="301"/>
      <c r="C235" s="288"/>
      <c r="D235" s="288"/>
      <c r="E235" s="368"/>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c r="AG235" s="325"/>
      <c r="AH235" s="325"/>
      <c r="AI235" s="325"/>
      <c r="AJ235" s="325"/>
      <c r="AK235" s="325"/>
      <c r="AL235" s="325"/>
      <c r="AM235" s="325"/>
      <c r="AN235" s="325"/>
      <c r="AO235" s="325"/>
      <c r="AP235" s="325"/>
      <c r="AQ235" s="325"/>
      <c r="AR235" s="325"/>
      <c r="AS235" s="325"/>
      <c r="AT235" s="325"/>
      <c r="AU235" s="325"/>
      <c r="AV235" s="325"/>
      <c r="AW235" s="325"/>
      <c r="AX235" s="325"/>
      <c r="AY235" s="325"/>
      <c r="AZ235" s="325"/>
      <c r="BA235" s="325"/>
      <c r="BB235" s="325"/>
      <c r="BC235" s="325"/>
      <c r="BD235" s="325"/>
      <c r="BE235" s="325"/>
      <c r="BF235" s="325"/>
      <c r="BG235" s="325"/>
      <c r="BH235" s="325"/>
      <c r="BI235" s="325"/>
      <c r="BJ235" s="325"/>
      <c r="BK235" s="325"/>
      <c r="BL235" s="325"/>
      <c r="BM235" s="325"/>
      <c r="BN235" s="325"/>
      <c r="BO235" s="325"/>
      <c r="BP235" s="325"/>
      <c r="BQ235" s="325"/>
      <c r="BR235" s="325"/>
      <c r="BS235" s="325"/>
      <c r="BT235" s="325"/>
      <c r="BU235" s="325"/>
      <c r="BV235" s="325"/>
    </row>
    <row r="236" spans="2:74" x14ac:dyDescent="0.3">
      <c r="B236" s="301"/>
      <c r="C236" s="288"/>
      <c r="D236" s="288"/>
      <c r="E236" s="368"/>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c r="AG236" s="325"/>
      <c r="AH236" s="325"/>
      <c r="AI236" s="325"/>
      <c r="AJ236" s="325"/>
      <c r="AK236" s="325"/>
      <c r="AL236" s="325"/>
      <c r="AM236" s="325"/>
      <c r="AN236" s="325"/>
      <c r="AO236" s="325"/>
      <c r="AP236" s="325"/>
      <c r="AQ236" s="325"/>
      <c r="AR236" s="325"/>
      <c r="AS236" s="325"/>
      <c r="AT236" s="325"/>
      <c r="AU236" s="325"/>
      <c r="AV236" s="325"/>
      <c r="AW236" s="325"/>
      <c r="AX236" s="325"/>
      <c r="AY236" s="325"/>
      <c r="AZ236" s="325"/>
      <c r="BA236" s="325"/>
      <c r="BB236" s="325"/>
      <c r="BC236" s="325"/>
      <c r="BD236" s="325"/>
      <c r="BE236" s="325"/>
      <c r="BF236" s="325"/>
      <c r="BG236" s="325"/>
      <c r="BH236" s="325"/>
      <c r="BI236" s="325"/>
      <c r="BJ236" s="325"/>
      <c r="BK236" s="325"/>
      <c r="BL236" s="325"/>
      <c r="BM236" s="325"/>
      <c r="BN236" s="325"/>
      <c r="BO236" s="325"/>
      <c r="BP236" s="325"/>
      <c r="BQ236" s="325"/>
      <c r="BR236" s="325"/>
      <c r="BS236" s="325"/>
      <c r="BT236" s="325"/>
      <c r="BU236" s="325"/>
      <c r="BV236" s="325"/>
    </row>
    <row r="237" spans="2:74" x14ac:dyDescent="0.3">
      <c r="B237" s="301"/>
      <c r="C237" s="288"/>
      <c r="D237" s="288"/>
      <c r="E237" s="368"/>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5"/>
      <c r="AY237" s="325"/>
      <c r="AZ237" s="325"/>
      <c r="BA237" s="325"/>
      <c r="BB237" s="325"/>
      <c r="BC237" s="325"/>
      <c r="BD237" s="325"/>
      <c r="BE237" s="325"/>
      <c r="BF237" s="325"/>
      <c r="BG237" s="325"/>
      <c r="BH237" s="325"/>
      <c r="BI237" s="325"/>
      <c r="BJ237" s="325"/>
      <c r="BK237" s="325"/>
      <c r="BL237" s="325"/>
      <c r="BM237" s="325"/>
      <c r="BN237" s="325"/>
      <c r="BO237" s="325"/>
      <c r="BP237" s="325"/>
      <c r="BQ237" s="325"/>
      <c r="BR237" s="325"/>
      <c r="BS237" s="325"/>
      <c r="BT237" s="325"/>
      <c r="BU237" s="325"/>
      <c r="BV237" s="325"/>
    </row>
    <row r="238" spans="2:74" x14ac:dyDescent="0.3">
      <c r="B238" s="301"/>
      <c r="C238" s="288"/>
      <c r="D238" s="288"/>
      <c r="E238" s="368"/>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5"/>
      <c r="BI238" s="325"/>
      <c r="BJ238" s="325"/>
      <c r="BK238" s="325"/>
      <c r="BL238" s="325"/>
      <c r="BM238" s="325"/>
      <c r="BN238" s="325"/>
      <c r="BO238" s="325"/>
      <c r="BP238" s="325"/>
      <c r="BQ238" s="325"/>
      <c r="BR238" s="325"/>
      <c r="BS238" s="325"/>
      <c r="BT238" s="325"/>
      <c r="BU238" s="325"/>
      <c r="BV238" s="325"/>
    </row>
    <row r="239" spans="2:74" x14ac:dyDescent="0.3">
      <c r="B239" s="301"/>
      <c r="C239" s="288"/>
      <c r="D239" s="288"/>
      <c r="E239" s="368"/>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row>
    <row r="240" spans="2:74" x14ac:dyDescent="0.3">
      <c r="B240" s="301"/>
      <c r="C240" s="288"/>
      <c r="D240" s="288"/>
      <c r="E240" s="368"/>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row>
    <row r="241" spans="2:74" x14ac:dyDescent="0.3">
      <c r="B241" s="301"/>
      <c r="C241" s="288"/>
      <c r="D241" s="288"/>
      <c r="E241" s="368"/>
      <c r="F241" s="325"/>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c r="AG241" s="325"/>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row>
    <row r="242" spans="2:74" x14ac:dyDescent="0.3">
      <c r="B242" s="301"/>
      <c r="C242" s="288"/>
      <c r="D242" s="288"/>
      <c r="E242" s="368"/>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row>
    <row r="243" spans="2:74" x14ac:dyDescent="0.3">
      <c r="B243" s="301"/>
      <c r="C243" s="288"/>
      <c r="D243" s="288"/>
      <c r="E243" s="368"/>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c r="AG243" s="325"/>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325"/>
      <c r="BL243" s="325"/>
      <c r="BM243" s="325"/>
      <c r="BN243" s="325"/>
      <c r="BO243" s="325"/>
      <c r="BP243" s="325"/>
      <c r="BQ243" s="325"/>
      <c r="BR243" s="325"/>
      <c r="BS243" s="325"/>
      <c r="BT243" s="325"/>
      <c r="BU243" s="325"/>
      <c r="BV243" s="325"/>
    </row>
    <row r="244" spans="2:74" x14ac:dyDescent="0.3">
      <c r="B244" s="301"/>
      <c r="C244" s="288"/>
      <c r="D244" s="288"/>
      <c r="E244" s="368"/>
      <c r="F244" s="325"/>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c r="AD244" s="325"/>
      <c r="AE244" s="325"/>
      <c r="AF244" s="325"/>
      <c r="AG244" s="325"/>
      <c r="AH244" s="325"/>
      <c r="AI244" s="325"/>
      <c r="AJ244" s="325"/>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325"/>
      <c r="BG244" s="325"/>
      <c r="BH244" s="325"/>
      <c r="BI244" s="325"/>
      <c r="BJ244" s="325"/>
      <c r="BK244" s="325"/>
      <c r="BL244" s="325"/>
      <c r="BM244" s="325"/>
      <c r="BN244" s="325"/>
      <c r="BO244" s="325"/>
      <c r="BP244" s="325"/>
      <c r="BQ244" s="325"/>
      <c r="BR244" s="325"/>
      <c r="BS244" s="325"/>
      <c r="BT244" s="325"/>
      <c r="BU244" s="325"/>
      <c r="BV244" s="325"/>
    </row>
    <row r="245" spans="2:74" x14ac:dyDescent="0.3">
      <c r="B245" s="301"/>
      <c r="C245" s="288"/>
      <c r="D245" s="288"/>
      <c r="E245" s="368"/>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c r="AG245" s="325"/>
      <c r="AH245" s="325"/>
      <c r="AI245" s="325"/>
      <c r="AJ245" s="325"/>
      <c r="AK245" s="325"/>
      <c r="AL245" s="325"/>
      <c r="AM245" s="325"/>
      <c r="AN245" s="325"/>
      <c r="AO245" s="325"/>
      <c r="AP245" s="325"/>
      <c r="AQ245" s="325"/>
      <c r="AR245" s="325"/>
      <c r="AS245" s="325"/>
      <c r="AT245" s="325"/>
      <c r="AU245" s="325"/>
      <c r="AV245" s="325"/>
      <c r="AW245" s="325"/>
      <c r="AX245" s="325"/>
      <c r="AY245" s="325"/>
      <c r="AZ245" s="325"/>
      <c r="BA245" s="325"/>
      <c r="BB245" s="325"/>
      <c r="BC245" s="325"/>
      <c r="BD245" s="325"/>
      <c r="BE245" s="325"/>
      <c r="BF245" s="325"/>
      <c r="BG245" s="325"/>
      <c r="BH245" s="325"/>
      <c r="BI245" s="325"/>
      <c r="BJ245" s="325"/>
      <c r="BK245" s="325"/>
      <c r="BL245" s="325"/>
      <c r="BM245" s="325"/>
      <c r="BN245" s="325"/>
      <c r="BO245" s="325"/>
      <c r="BP245" s="325"/>
      <c r="BQ245" s="325"/>
      <c r="BR245" s="325"/>
      <c r="BS245" s="325"/>
      <c r="BT245" s="325"/>
      <c r="BU245" s="325"/>
      <c r="BV245" s="325"/>
    </row>
    <row r="246" spans="2:74" x14ac:dyDescent="0.3">
      <c r="B246" s="301"/>
      <c r="C246" s="288"/>
      <c r="D246" s="288"/>
      <c r="E246" s="368"/>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c r="AG246" s="325"/>
      <c r="AH246" s="325"/>
      <c r="AI246" s="325"/>
      <c r="AJ246" s="325"/>
      <c r="AK246" s="325"/>
      <c r="AL246" s="325"/>
      <c r="AM246" s="325"/>
      <c r="AN246" s="325"/>
      <c r="AO246" s="325"/>
      <c r="AP246" s="325"/>
      <c r="AQ246" s="325"/>
      <c r="AR246" s="325"/>
      <c r="AS246" s="325"/>
      <c r="AT246" s="325"/>
      <c r="AU246" s="325"/>
      <c r="AV246" s="325"/>
      <c r="AW246" s="325"/>
      <c r="AX246" s="325"/>
      <c r="AY246" s="325"/>
      <c r="AZ246" s="325"/>
      <c r="BA246" s="325"/>
      <c r="BB246" s="325"/>
      <c r="BC246" s="325"/>
      <c r="BD246" s="325"/>
      <c r="BE246" s="325"/>
      <c r="BF246" s="325"/>
      <c r="BG246" s="325"/>
      <c r="BH246" s="325"/>
      <c r="BI246" s="325"/>
      <c r="BJ246" s="325"/>
      <c r="BK246" s="325"/>
      <c r="BL246" s="325"/>
      <c r="BM246" s="325"/>
      <c r="BN246" s="325"/>
      <c r="BO246" s="325"/>
      <c r="BP246" s="325"/>
      <c r="BQ246" s="325"/>
      <c r="BR246" s="325"/>
      <c r="BS246" s="325"/>
      <c r="BT246" s="325"/>
      <c r="BU246" s="325"/>
      <c r="BV246" s="325"/>
    </row>
    <row r="247" spans="2:74" x14ac:dyDescent="0.3">
      <c r="B247" s="301"/>
      <c r="C247" s="288"/>
      <c r="D247" s="288"/>
      <c r="E247" s="368"/>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5"/>
      <c r="AI247" s="325"/>
      <c r="AJ247" s="325"/>
      <c r="AK247" s="325"/>
      <c r="AL247" s="325"/>
      <c r="AM247" s="325"/>
      <c r="AN247" s="325"/>
      <c r="AO247" s="325"/>
      <c r="AP247" s="325"/>
      <c r="AQ247" s="325"/>
      <c r="AR247" s="325"/>
      <c r="AS247" s="325"/>
      <c r="AT247" s="325"/>
      <c r="AU247" s="325"/>
      <c r="AV247" s="325"/>
      <c r="AW247" s="325"/>
      <c r="AX247" s="325"/>
      <c r="AY247" s="325"/>
      <c r="AZ247" s="325"/>
      <c r="BA247" s="325"/>
      <c r="BB247" s="325"/>
      <c r="BC247" s="325"/>
      <c r="BD247" s="325"/>
      <c r="BE247" s="325"/>
      <c r="BF247" s="325"/>
      <c r="BG247" s="325"/>
      <c r="BH247" s="325"/>
      <c r="BI247" s="325"/>
      <c r="BJ247" s="325"/>
      <c r="BK247" s="325"/>
      <c r="BL247" s="325"/>
      <c r="BM247" s="325"/>
      <c r="BN247" s="325"/>
      <c r="BO247" s="325"/>
      <c r="BP247" s="325"/>
      <c r="BQ247" s="325"/>
      <c r="BR247" s="325"/>
      <c r="BS247" s="325"/>
      <c r="BT247" s="325"/>
      <c r="BU247" s="325"/>
      <c r="BV247" s="325"/>
    </row>
    <row r="248" spans="2:74" x14ac:dyDescent="0.3">
      <c r="B248" s="301"/>
      <c r="C248" s="288"/>
      <c r="D248" s="288"/>
      <c r="E248" s="368"/>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c r="AG248" s="325"/>
      <c r="AH248" s="325"/>
      <c r="AI248" s="325"/>
      <c r="AJ248" s="325"/>
      <c r="AK248" s="325"/>
      <c r="AL248" s="325"/>
      <c r="AM248" s="325"/>
      <c r="AN248" s="325"/>
      <c r="AO248" s="325"/>
      <c r="AP248" s="325"/>
      <c r="AQ248" s="325"/>
      <c r="AR248" s="325"/>
      <c r="AS248" s="325"/>
      <c r="AT248" s="325"/>
      <c r="AU248" s="325"/>
      <c r="AV248" s="325"/>
      <c r="AW248" s="325"/>
      <c r="AX248" s="325"/>
      <c r="AY248" s="325"/>
      <c r="AZ248" s="325"/>
      <c r="BA248" s="325"/>
      <c r="BB248" s="325"/>
      <c r="BC248" s="325"/>
      <c r="BD248" s="325"/>
      <c r="BE248" s="325"/>
      <c r="BF248" s="325"/>
      <c r="BG248" s="325"/>
      <c r="BH248" s="325"/>
      <c r="BI248" s="325"/>
      <c r="BJ248" s="325"/>
      <c r="BK248" s="325"/>
      <c r="BL248" s="325"/>
      <c r="BM248" s="325"/>
      <c r="BN248" s="325"/>
      <c r="BO248" s="325"/>
      <c r="BP248" s="325"/>
      <c r="BQ248" s="325"/>
      <c r="BR248" s="325"/>
      <c r="BS248" s="325"/>
      <c r="BT248" s="325"/>
      <c r="BU248" s="325"/>
      <c r="BV248" s="325"/>
    </row>
    <row r="249" spans="2:74" x14ac:dyDescent="0.3">
      <c r="B249" s="301"/>
      <c r="C249" s="288"/>
      <c r="D249" s="288"/>
      <c r="E249" s="368"/>
      <c r="F249" s="325"/>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c r="BD249" s="325"/>
      <c r="BE249" s="325"/>
      <c r="BF249" s="325"/>
      <c r="BG249" s="325"/>
      <c r="BH249" s="325"/>
      <c r="BI249" s="325"/>
      <c r="BJ249" s="325"/>
      <c r="BK249" s="325"/>
      <c r="BL249" s="325"/>
      <c r="BM249" s="325"/>
      <c r="BN249" s="325"/>
      <c r="BO249" s="325"/>
      <c r="BP249" s="325"/>
      <c r="BQ249" s="325"/>
      <c r="BR249" s="325"/>
      <c r="BS249" s="325"/>
      <c r="BT249" s="325"/>
      <c r="BU249" s="325"/>
      <c r="BV249" s="325"/>
    </row>
    <row r="250" spans="2:74" x14ac:dyDescent="0.3">
      <c r="B250" s="301"/>
      <c r="C250" s="288"/>
      <c r="D250" s="288"/>
      <c r="E250" s="368"/>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5"/>
      <c r="AY250" s="325"/>
      <c r="AZ250" s="325"/>
      <c r="BA250" s="325"/>
      <c r="BB250" s="325"/>
      <c r="BC250" s="325"/>
      <c r="BD250" s="325"/>
      <c r="BE250" s="325"/>
      <c r="BF250" s="325"/>
      <c r="BG250" s="325"/>
      <c r="BH250" s="325"/>
      <c r="BI250" s="325"/>
      <c r="BJ250" s="325"/>
      <c r="BK250" s="325"/>
      <c r="BL250" s="325"/>
      <c r="BM250" s="325"/>
      <c r="BN250" s="325"/>
      <c r="BO250" s="325"/>
      <c r="BP250" s="325"/>
      <c r="BQ250" s="325"/>
      <c r="BR250" s="325"/>
      <c r="BS250" s="325"/>
      <c r="BT250" s="325"/>
      <c r="BU250" s="325"/>
      <c r="BV250" s="325"/>
    </row>
    <row r="251" spans="2:74" x14ac:dyDescent="0.3">
      <c r="B251" s="301"/>
      <c r="C251" s="288"/>
      <c r="D251" s="288"/>
      <c r="E251" s="368"/>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5"/>
      <c r="BC251" s="325"/>
      <c r="BD251" s="325"/>
      <c r="BE251" s="325"/>
      <c r="BF251" s="325"/>
      <c r="BG251" s="325"/>
      <c r="BH251" s="325"/>
      <c r="BI251" s="325"/>
      <c r="BJ251" s="325"/>
      <c r="BK251" s="325"/>
      <c r="BL251" s="325"/>
      <c r="BM251" s="325"/>
      <c r="BN251" s="325"/>
      <c r="BO251" s="325"/>
      <c r="BP251" s="325"/>
      <c r="BQ251" s="325"/>
      <c r="BR251" s="325"/>
      <c r="BS251" s="325"/>
      <c r="BT251" s="325"/>
      <c r="BU251" s="325"/>
      <c r="BV251" s="325"/>
    </row>
    <row r="252" spans="2:74" x14ac:dyDescent="0.3">
      <c r="B252" s="301"/>
      <c r="C252" s="288"/>
      <c r="D252" s="288"/>
      <c r="E252" s="368"/>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c r="AG252" s="325"/>
      <c r="AH252" s="325"/>
      <c r="AI252" s="325"/>
      <c r="AJ252" s="325"/>
      <c r="AK252" s="325"/>
      <c r="AL252" s="325"/>
      <c r="AM252" s="325"/>
      <c r="AN252" s="325"/>
      <c r="AO252" s="325"/>
      <c r="AP252" s="325"/>
      <c r="AQ252" s="325"/>
      <c r="AR252" s="325"/>
      <c r="AS252" s="325"/>
      <c r="AT252" s="325"/>
      <c r="AU252" s="325"/>
      <c r="AV252" s="325"/>
      <c r="AW252" s="325"/>
      <c r="AX252" s="325"/>
      <c r="AY252" s="325"/>
      <c r="AZ252" s="325"/>
      <c r="BA252" s="325"/>
      <c r="BB252" s="325"/>
      <c r="BC252" s="325"/>
      <c r="BD252" s="325"/>
      <c r="BE252" s="325"/>
      <c r="BF252" s="325"/>
      <c r="BG252" s="325"/>
      <c r="BH252" s="325"/>
      <c r="BI252" s="325"/>
      <c r="BJ252" s="325"/>
      <c r="BK252" s="325"/>
      <c r="BL252" s="325"/>
      <c r="BM252" s="325"/>
      <c r="BN252" s="325"/>
      <c r="BO252" s="325"/>
      <c r="BP252" s="325"/>
      <c r="BQ252" s="325"/>
      <c r="BR252" s="325"/>
      <c r="BS252" s="325"/>
      <c r="BT252" s="325"/>
      <c r="BU252" s="325"/>
      <c r="BV252" s="325"/>
    </row>
    <row r="253" spans="2:74" x14ac:dyDescent="0.3">
      <c r="B253" s="301"/>
      <c r="C253" s="288"/>
      <c r="D253" s="288"/>
      <c r="E253" s="368"/>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row>
    <row r="254" spans="2:74" x14ac:dyDescent="0.3">
      <c r="B254" s="301"/>
      <c r="C254" s="288"/>
      <c r="D254" s="288"/>
      <c r="E254" s="368"/>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row>
    <row r="255" spans="2:74" x14ac:dyDescent="0.3">
      <c r="B255" s="301"/>
      <c r="C255" s="288"/>
      <c r="D255" s="288"/>
      <c r="E255" s="368"/>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5"/>
      <c r="BQ255" s="325"/>
      <c r="BR255" s="325"/>
      <c r="BS255" s="325"/>
      <c r="BT255" s="325"/>
      <c r="BU255" s="325"/>
      <c r="BV255" s="325"/>
    </row>
    <row r="256" spans="2:74" x14ac:dyDescent="0.3">
      <c r="B256" s="301"/>
      <c r="C256" s="288"/>
      <c r="D256" s="288"/>
      <c r="E256" s="368"/>
      <c r="F256" s="325"/>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c r="AD256" s="325"/>
      <c r="AE256" s="325"/>
      <c r="AF256" s="325"/>
      <c r="AG256" s="325"/>
      <c r="AH256" s="325"/>
      <c r="AI256" s="325"/>
      <c r="AJ256" s="325"/>
      <c r="AK256" s="325"/>
      <c r="AL256" s="325"/>
      <c r="AM256" s="325"/>
      <c r="AN256" s="325"/>
      <c r="AO256" s="325"/>
      <c r="AP256" s="325"/>
      <c r="AQ256" s="325"/>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5"/>
      <c r="BQ256" s="325"/>
      <c r="BR256" s="325"/>
      <c r="BS256" s="325"/>
      <c r="BT256" s="325"/>
      <c r="BU256" s="325"/>
      <c r="BV256" s="325"/>
    </row>
    <row r="257" spans="2:74" x14ac:dyDescent="0.3">
      <c r="B257" s="301"/>
      <c r="C257" s="288"/>
      <c r="D257" s="288"/>
      <c r="E257" s="368"/>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c r="AD257" s="325"/>
      <c r="AE257" s="325"/>
      <c r="AF257" s="325"/>
      <c r="AG257" s="325"/>
      <c r="AH257" s="325"/>
      <c r="AI257" s="325"/>
      <c r="AJ257" s="325"/>
      <c r="AK257" s="325"/>
      <c r="AL257" s="325"/>
      <c r="AM257" s="325"/>
      <c r="AN257" s="325"/>
      <c r="AO257" s="325"/>
      <c r="AP257" s="325"/>
      <c r="AQ257" s="325"/>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5"/>
      <c r="BQ257" s="325"/>
      <c r="BR257" s="325"/>
      <c r="BS257" s="325"/>
      <c r="BT257" s="325"/>
      <c r="BU257" s="325"/>
      <c r="BV257" s="325"/>
    </row>
    <row r="258" spans="2:74" x14ac:dyDescent="0.3">
      <c r="B258" s="301"/>
      <c r="C258" s="288"/>
      <c r="D258" s="288"/>
      <c r="E258" s="368"/>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c r="AG258" s="325"/>
      <c r="AH258" s="325"/>
      <c r="AI258" s="325"/>
      <c r="AJ258" s="325"/>
      <c r="AK258" s="325"/>
      <c r="AL258" s="325"/>
      <c r="AM258" s="325"/>
      <c r="AN258" s="325"/>
      <c r="AO258" s="325"/>
      <c r="AP258" s="325"/>
      <c r="AQ258" s="325"/>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5"/>
      <c r="BQ258" s="325"/>
      <c r="BR258" s="325"/>
      <c r="BS258" s="325"/>
      <c r="BT258" s="325"/>
      <c r="BU258" s="325"/>
      <c r="BV258" s="325"/>
    </row>
    <row r="259" spans="2:74" x14ac:dyDescent="0.3">
      <c r="B259" s="301"/>
      <c r="C259" s="288"/>
      <c r="D259" s="288"/>
      <c r="E259" s="368"/>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5"/>
      <c r="BQ259" s="325"/>
      <c r="BR259" s="325"/>
      <c r="BS259" s="325"/>
      <c r="BT259" s="325"/>
      <c r="BU259" s="325"/>
      <c r="BV259" s="325"/>
    </row>
    <row r="260" spans="2:74" x14ac:dyDescent="0.3">
      <c r="B260" s="301"/>
      <c r="C260" s="301"/>
      <c r="D260" s="301"/>
      <c r="E260" s="368"/>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c r="AG260" s="325"/>
      <c r="AH260" s="325"/>
      <c r="AI260" s="325"/>
      <c r="AJ260" s="325"/>
      <c r="AK260" s="325"/>
      <c r="AL260" s="325"/>
      <c r="AM260" s="325"/>
      <c r="AN260" s="325"/>
      <c r="AO260" s="325"/>
      <c r="AP260" s="325"/>
      <c r="AQ260" s="325"/>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5"/>
      <c r="BQ260" s="325"/>
      <c r="BR260" s="325"/>
      <c r="BS260" s="325"/>
      <c r="BT260" s="325"/>
      <c r="BU260" s="325"/>
      <c r="BV260" s="325"/>
    </row>
    <row r="261" spans="2:74" x14ac:dyDescent="0.3">
      <c r="B261" s="301"/>
      <c r="C261" s="288"/>
      <c r="D261" s="288"/>
      <c r="E261" s="368"/>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c r="AG261" s="325"/>
      <c r="AH261" s="325"/>
      <c r="AI261" s="325"/>
      <c r="AJ261" s="325"/>
      <c r="AK261" s="325"/>
      <c r="AL261" s="325"/>
      <c r="AM261" s="325"/>
      <c r="AN261" s="325"/>
      <c r="AO261" s="325"/>
      <c r="AP261" s="325"/>
      <c r="AQ261" s="325"/>
      <c r="AR261" s="325"/>
      <c r="AS261" s="325"/>
      <c r="AT261" s="325"/>
      <c r="AU261" s="325"/>
      <c r="AV261" s="325"/>
      <c r="AW261" s="325"/>
      <c r="AX261" s="325"/>
      <c r="AY261" s="325"/>
      <c r="AZ261" s="325"/>
      <c r="BA261" s="325"/>
      <c r="BB261" s="325"/>
      <c r="BC261" s="325"/>
      <c r="BD261" s="325"/>
      <c r="BE261" s="325"/>
      <c r="BF261" s="325"/>
      <c r="BG261" s="325"/>
      <c r="BH261" s="325"/>
      <c r="BI261" s="325"/>
      <c r="BJ261" s="325"/>
      <c r="BK261" s="325"/>
      <c r="BL261" s="325"/>
      <c r="BM261" s="325"/>
      <c r="BN261" s="325"/>
      <c r="BO261" s="325"/>
      <c r="BP261" s="325"/>
      <c r="BQ261" s="325"/>
      <c r="BR261" s="325"/>
      <c r="BS261" s="325"/>
      <c r="BT261" s="325"/>
      <c r="BU261" s="325"/>
      <c r="BV261" s="325"/>
    </row>
    <row r="262" spans="2:74" x14ac:dyDescent="0.3">
      <c r="C262" s="288"/>
      <c r="D262" s="288"/>
      <c r="E262" s="368"/>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c r="AG262" s="325"/>
      <c r="AH262" s="325"/>
      <c r="AI262" s="325"/>
      <c r="AJ262" s="325"/>
      <c r="AK262" s="325"/>
      <c r="AL262" s="325"/>
      <c r="AM262" s="325"/>
      <c r="AN262" s="325"/>
      <c r="AO262" s="325"/>
      <c r="AP262" s="325"/>
      <c r="AQ262" s="325"/>
      <c r="AR262" s="325"/>
      <c r="AS262" s="325"/>
      <c r="AT262" s="325"/>
      <c r="AU262" s="325"/>
      <c r="AV262" s="325"/>
      <c r="AW262" s="325"/>
      <c r="AX262" s="325"/>
      <c r="AY262" s="325"/>
      <c r="AZ262" s="325"/>
      <c r="BA262" s="325"/>
      <c r="BB262" s="325"/>
      <c r="BC262" s="325"/>
      <c r="BD262" s="325"/>
      <c r="BE262" s="325"/>
      <c r="BF262" s="325"/>
      <c r="BG262" s="325"/>
      <c r="BH262" s="325"/>
      <c r="BI262" s="325"/>
      <c r="BJ262" s="325"/>
      <c r="BK262" s="325"/>
      <c r="BL262" s="325"/>
      <c r="BM262" s="325"/>
      <c r="BN262" s="325"/>
      <c r="BO262" s="325"/>
      <c r="BP262" s="325"/>
      <c r="BQ262" s="325"/>
      <c r="BR262" s="325"/>
      <c r="BS262" s="325"/>
      <c r="BT262" s="325"/>
      <c r="BU262" s="325"/>
      <c r="BV262" s="325"/>
    </row>
    <row r="263" spans="2:74" x14ac:dyDescent="0.3">
      <c r="B263" s="301"/>
      <c r="C263" s="288"/>
      <c r="D263" s="288"/>
      <c r="E263" s="368"/>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325"/>
      <c r="AO263" s="325"/>
      <c r="AP263" s="325"/>
      <c r="AQ263" s="325"/>
      <c r="AR263" s="325"/>
      <c r="AS263" s="325"/>
      <c r="AT263" s="325"/>
      <c r="AU263" s="325"/>
      <c r="AV263" s="325"/>
      <c r="AW263" s="325"/>
      <c r="AX263" s="325"/>
      <c r="AY263" s="325"/>
      <c r="AZ263" s="325"/>
      <c r="BA263" s="325"/>
      <c r="BB263" s="325"/>
      <c r="BC263" s="325"/>
      <c r="BD263" s="325"/>
      <c r="BE263" s="325"/>
      <c r="BF263" s="325"/>
      <c r="BG263" s="325"/>
      <c r="BH263" s="325"/>
      <c r="BI263" s="325"/>
      <c r="BJ263" s="325"/>
      <c r="BK263" s="325"/>
      <c r="BL263" s="325"/>
      <c r="BM263" s="325"/>
      <c r="BN263" s="325"/>
      <c r="BO263" s="325"/>
      <c r="BP263" s="325"/>
      <c r="BQ263" s="325"/>
      <c r="BR263" s="325"/>
      <c r="BS263" s="325"/>
      <c r="BT263" s="325"/>
      <c r="BU263" s="325"/>
      <c r="BV263" s="325"/>
    </row>
    <row r="264" spans="2:74" x14ac:dyDescent="0.3">
      <c r="B264" s="301"/>
      <c r="C264" s="288"/>
      <c r="D264" s="288"/>
      <c r="E264" s="368"/>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c r="BD264" s="325"/>
      <c r="BE264" s="325"/>
      <c r="BF264" s="325"/>
      <c r="BG264" s="325"/>
      <c r="BH264" s="325"/>
      <c r="BI264" s="325"/>
      <c r="BJ264" s="325"/>
      <c r="BK264" s="325"/>
      <c r="BL264" s="325"/>
      <c r="BM264" s="325"/>
      <c r="BN264" s="325"/>
      <c r="BO264" s="325"/>
      <c r="BP264" s="325"/>
      <c r="BQ264" s="325"/>
      <c r="BR264" s="325"/>
      <c r="BS264" s="325"/>
      <c r="BT264" s="325"/>
      <c r="BU264" s="325"/>
      <c r="BV264" s="325"/>
    </row>
    <row r="265" spans="2:74" x14ac:dyDescent="0.3">
      <c r="B265" s="301"/>
      <c r="C265" s="288"/>
      <c r="D265" s="288"/>
      <c r="E265" s="368"/>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5"/>
      <c r="BQ265" s="325"/>
      <c r="BR265" s="325"/>
      <c r="BS265" s="325"/>
      <c r="BT265" s="325"/>
      <c r="BU265" s="325"/>
      <c r="BV265" s="325"/>
    </row>
    <row r="266" spans="2:74" x14ac:dyDescent="0.3">
      <c r="B266" s="301"/>
      <c r="C266" s="288"/>
      <c r="D266" s="288"/>
      <c r="E266" s="368"/>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c r="AN266" s="325"/>
      <c r="AO266" s="325"/>
      <c r="AP266" s="325"/>
      <c r="AQ266" s="325"/>
      <c r="AR266" s="325"/>
      <c r="AS266" s="325"/>
      <c r="AT266" s="325"/>
      <c r="AU266" s="325"/>
      <c r="AV266" s="325"/>
      <c r="AW266" s="325"/>
      <c r="AX266" s="325"/>
      <c r="AY266" s="325"/>
      <c r="AZ266" s="325"/>
      <c r="BA266" s="325"/>
      <c r="BB266" s="325"/>
      <c r="BC266" s="325"/>
      <c r="BD266" s="325"/>
      <c r="BE266" s="325"/>
      <c r="BF266" s="325"/>
      <c r="BG266" s="325"/>
      <c r="BH266" s="325"/>
      <c r="BI266" s="325"/>
      <c r="BJ266" s="325"/>
      <c r="BK266" s="325"/>
      <c r="BL266" s="325"/>
      <c r="BM266" s="325"/>
      <c r="BN266" s="325"/>
      <c r="BO266" s="325"/>
      <c r="BP266" s="325"/>
      <c r="BQ266" s="325"/>
      <c r="BR266" s="325"/>
      <c r="BS266" s="325"/>
      <c r="BT266" s="325"/>
      <c r="BU266" s="325"/>
      <c r="BV266" s="325"/>
    </row>
    <row r="267" spans="2:74" x14ac:dyDescent="0.3">
      <c r="B267" s="301"/>
      <c r="C267" s="288"/>
      <c r="D267" s="288"/>
      <c r="E267" s="368"/>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5"/>
      <c r="BQ267" s="325"/>
      <c r="BR267" s="325"/>
      <c r="BS267" s="325"/>
      <c r="BT267" s="325"/>
      <c r="BU267" s="325"/>
      <c r="BV267" s="325"/>
    </row>
    <row r="268" spans="2:74" x14ac:dyDescent="0.3">
      <c r="B268" s="301"/>
      <c r="C268" s="288"/>
      <c r="D268" s="288"/>
      <c r="E268" s="368"/>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5"/>
      <c r="BQ268" s="325"/>
      <c r="BR268" s="325"/>
      <c r="BS268" s="325"/>
      <c r="BT268" s="325"/>
      <c r="BU268" s="325"/>
      <c r="BV268" s="325"/>
    </row>
    <row r="269" spans="2:74" x14ac:dyDescent="0.3">
      <c r="B269" s="301"/>
      <c r="C269" s="288"/>
      <c r="D269" s="288"/>
      <c r="E269" s="368"/>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5"/>
      <c r="BQ269" s="325"/>
      <c r="BR269" s="325"/>
      <c r="BS269" s="325"/>
      <c r="BT269" s="325"/>
      <c r="BU269" s="325"/>
      <c r="BV269" s="325"/>
    </row>
    <row r="270" spans="2:74" x14ac:dyDescent="0.3">
      <c r="B270" s="301"/>
      <c r="C270" s="288"/>
      <c r="D270" s="288"/>
      <c r="E270" s="368"/>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c r="AG270" s="325"/>
      <c r="AH270" s="325"/>
      <c r="AI270" s="325"/>
      <c r="AJ270" s="325"/>
      <c r="AK270" s="325"/>
      <c r="AL270" s="325"/>
      <c r="AM270" s="325"/>
      <c r="AN270" s="325"/>
      <c r="AO270" s="325"/>
      <c r="AP270" s="325"/>
      <c r="AQ270" s="325"/>
      <c r="AR270" s="325"/>
      <c r="AS270" s="325"/>
      <c r="AT270" s="325"/>
      <c r="AU270" s="325"/>
      <c r="AV270" s="325"/>
      <c r="AW270" s="325"/>
      <c r="AX270" s="325"/>
      <c r="AY270" s="325"/>
      <c r="AZ270" s="325"/>
      <c r="BA270" s="325"/>
      <c r="BB270" s="325"/>
      <c r="BC270" s="325"/>
      <c r="BD270" s="325"/>
      <c r="BE270" s="325"/>
      <c r="BF270" s="325"/>
      <c r="BG270" s="325"/>
      <c r="BH270" s="325"/>
      <c r="BI270" s="325"/>
      <c r="BJ270" s="325"/>
      <c r="BK270" s="325"/>
      <c r="BL270" s="325"/>
      <c r="BM270" s="325"/>
      <c r="BN270" s="325"/>
      <c r="BO270" s="325"/>
      <c r="BP270" s="325"/>
      <c r="BQ270" s="325"/>
      <c r="BR270" s="325"/>
      <c r="BS270" s="325"/>
      <c r="BT270" s="325"/>
      <c r="BU270" s="325"/>
      <c r="BV270" s="325"/>
    </row>
    <row r="271" spans="2:74" x14ac:dyDescent="0.3">
      <c r="B271" s="301"/>
      <c r="C271" s="288"/>
      <c r="D271" s="288"/>
      <c r="E271" s="368"/>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c r="AG271" s="325"/>
      <c r="AH271" s="325"/>
      <c r="AI271" s="325"/>
      <c r="AJ271" s="325"/>
      <c r="AK271" s="325"/>
      <c r="AL271" s="325"/>
      <c r="AM271" s="325"/>
      <c r="AN271" s="325"/>
      <c r="AO271" s="325"/>
      <c r="AP271" s="325"/>
      <c r="AQ271" s="325"/>
      <c r="AR271" s="325"/>
      <c r="AS271" s="325"/>
      <c r="AT271" s="325"/>
      <c r="AU271" s="325"/>
      <c r="AV271" s="325"/>
      <c r="AW271" s="325"/>
      <c r="AX271" s="325"/>
      <c r="AY271" s="325"/>
      <c r="AZ271" s="325"/>
      <c r="BA271" s="325"/>
      <c r="BB271" s="325"/>
      <c r="BC271" s="325"/>
      <c r="BD271" s="325"/>
      <c r="BE271" s="325"/>
      <c r="BF271" s="325"/>
      <c r="BG271" s="325"/>
      <c r="BH271" s="325"/>
      <c r="BI271" s="325"/>
      <c r="BJ271" s="325"/>
      <c r="BK271" s="325"/>
      <c r="BL271" s="325"/>
      <c r="BM271" s="325"/>
      <c r="BN271" s="325"/>
      <c r="BO271" s="325"/>
      <c r="BP271" s="325"/>
      <c r="BQ271" s="325"/>
      <c r="BR271" s="325"/>
      <c r="BS271" s="325"/>
      <c r="BT271" s="325"/>
      <c r="BU271" s="325"/>
      <c r="BV271" s="325"/>
    </row>
    <row r="272" spans="2:74" x14ac:dyDescent="0.3">
      <c r="B272" s="301"/>
      <c r="C272" s="301"/>
      <c r="D272" s="301"/>
      <c r="E272" s="368"/>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c r="AG272" s="325"/>
      <c r="AH272" s="325"/>
      <c r="AI272" s="325"/>
      <c r="AJ272" s="325"/>
      <c r="AK272" s="325"/>
      <c r="AL272" s="325"/>
      <c r="AM272" s="325"/>
      <c r="AN272" s="325"/>
      <c r="AO272" s="325"/>
      <c r="AP272" s="325"/>
      <c r="AQ272" s="325"/>
      <c r="AR272" s="325"/>
      <c r="AS272" s="325"/>
      <c r="AT272" s="325"/>
      <c r="AU272" s="325"/>
      <c r="AV272" s="325"/>
      <c r="AW272" s="325"/>
      <c r="AX272" s="325"/>
      <c r="AY272" s="325"/>
      <c r="AZ272" s="325"/>
      <c r="BA272" s="325"/>
      <c r="BB272" s="325"/>
      <c r="BC272" s="325"/>
      <c r="BD272" s="325"/>
      <c r="BE272" s="325"/>
      <c r="BF272" s="325"/>
      <c r="BG272" s="325"/>
      <c r="BH272" s="325"/>
      <c r="BI272" s="325"/>
      <c r="BJ272" s="325"/>
      <c r="BK272" s="325"/>
      <c r="BL272" s="325"/>
      <c r="BM272" s="325"/>
      <c r="BN272" s="325"/>
      <c r="BO272" s="325"/>
      <c r="BP272" s="325"/>
      <c r="BQ272" s="325"/>
      <c r="BR272" s="325"/>
      <c r="BS272" s="325"/>
      <c r="BT272" s="325"/>
      <c r="BU272" s="325"/>
      <c r="BV272" s="325"/>
    </row>
    <row r="273" spans="2:74" x14ac:dyDescent="0.3">
      <c r="B273" s="301"/>
      <c r="C273" s="288"/>
      <c r="D273" s="288"/>
      <c r="E273" s="368"/>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c r="AG273" s="325"/>
      <c r="AH273" s="325"/>
      <c r="AI273" s="325"/>
      <c r="AJ273" s="325"/>
      <c r="AK273" s="325"/>
      <c r="AL273" s="325"/>
      <c r="AM273" s="325"/>
      <c r="AN273" s="325"/>
      <c r="AO273" s="325"/>
      <c r="AP273" s="325"/>
      <c r="AQ273" s="325"/>
      <c r="AR273" s="325"/>
      <c r="AS273" s="325"/>
      <c r="AT273" s="325"/>
      <c r="AU273" s="325"/>
      <c r="AV273" s="325"/>
      <c r="AW273" s="325"/>
      <c r="AX273" s="325"/>
      <c r="AY273" s="325"/>
      <c r="AZ273" s="325"/>
      <c r="BA273" s="325"/>
      <c r="BB273" s="325"/>
      <c r="BC273" s="325"/>
      <c r="BD273" s="325"/>
      <c r="BE273" s="325"/>
      <c r="BF273" s="325"/>
      <c r="BG273" s="325"/>
      <c r="BH273" s="325"/>
      <c r="BI273" s="325"/>
      <c r="BJ273" s="325"/>
      <c r="BK273" s="325"/>
      <c r="BL273" s="325"/>
      <c r="BM273" s="325"/>
      <c r="BN273" s="325"/>
      <c r="BO273" s="325"/>
      <c r="BP273" s="325"/>
      <c r="BQ273" s="325"/>
      <c r="BR273" s="325"/>
      <c r="BS273" s="325"/>
      <c r="BT273" s="325"/>
      <c r="BU273" s="325"/>
      <c r="BV273" s="325"/>
    </row>
    <row r="274" spans="2:74" x14ac:dyDescent="0.3">
      <c r="B274" s="301"/>
      <c r="C274" s="288"/>
      <c r="D274" s="288"/>
      <c r="E274" s="368"/>
      <c r="F274" s="325"/>
      <c r="G274" s="325"/>
      <c r="H274" s="325"/>
      <c r="I274" s="325"/>
      <c r="J274" s="325"/>
      <c r="K274" s="325"/>
      <c r="L274" s="325"/>
      <c r="M274" s="325"/>
      <c r="N274" s="325"/>
      <c r="O274" s="325"/>
      <c r="P274" s="325"/>
      <c r="Q274" s="325"/>
      <c r="R274" s="325"/>
      <c r="S274" s="325"/>
      <c r="T274" s="325"/>
      <c r="U274" s="325"/>
      <c r="V274" s="325"/>
      <c r="W274" s="325"/>
      <c r="X274" s="325"/>
      <c r="Y274" s="325"/>
      <c r="Z274" s="325"/>
      <c r="AA274" s="325"/>
      <c r="AB274" s="325"/>
      <c r="AC274" s="325"/>
      <c r="AD274" s="325"/>
      <c r="AE274" s="325"/>
      <c r="AF274" s="325"/>
      <c r="AG274" s="325"/>
      <c r="AH274" s="325"/>
      <c r="AI274" s="325"/>
      <c r="AJ274" s="325"/>
      <c r="AK274" s="325"/>
      <c r="AL274" s="325"/>
      <c r="AM274" s="325"/>
      <c r="AN274" s="325"/>
      <c r="AO274" s="325"/>
      <c r="AP274" s="325"/>
      <c r="AQ274" s="325"/>
      <c r="AR274" s="325"/>
      <c r="AS274" s="325"/>
      <c r="AT274" s="325"/>
      <c r="AU274" s="325"/>
      <c r="AV274" s="325"/>
      <c r="AW274" s="325"/>
      <c r="AX274" s="325"/>
      <c r="AY274" s="325"/>
      <c r="AZ274" s="325"/>
      <c r="BA274" s="325"/>
      <c r="BB274" s="325"/>
      <c r="BC274" s="325"/>
      <c r="BD274" s="325"/>
      <c r="BE274" s="325"/>
      <c r="BF274" s="325"/>
      <c r="BG274" s="325"/>
      <c r="BH274" s="325"/>
      <c r="BI274" s="325"/>
      <c r="BJ274" s="325"/>
      <c r="BK274" s="325"/>
      <c r="BL274" s="325"/>
      <c r="BM274" s="325"/>
      <c r="BN274" s="325"/>
      <c r="BO274" s="325"/>
      <c r="BP274" s="325"/>
      <c r="BQ274" s="325"/>
      <c r="BR274" s="325"/>
      <c r="BS274" s="325"/>
      <c r="BT274" s="325"/>
      <c r="BU274" s="325"/>
      <c r="BV274" s="325"/>
    </row>
    <row r="275" spans="2:74" x14ac:dyDescent="0.3">
      <c r="B275" s="301"/>
      <c r="C275" s="288"/>
      <c r="D275" s="288"/>
      <c r="E275" s="368"/>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c r="AG275" s="325"/>
      <c r="AH275" s="325"/>
      <c r="AI275" s="325"/>
      <c r="AJ275" s="325"/>
      <c r="AK275" s="325"/>
      <c r="AL275" s="325"/>
      <c r="AM275" s="325"/>
      <c r="AN275" s="325"/>
      <c r="AO275" s="325"/>
      <c r="AP275" s="325"/>
      <c r="AQ275" s="325"/>
      <c r="AR275" s="325"/>
      <c r="AS275" s="325"/>
      <c r="AT275" s="325"/>
      <c r="AU275" s="325"/>
      <c r="AV275" s="325"/>
      <c r="AW275" s="325"/>
      <c r="AX275" s="325"/>
      <c r="AY275" s="325"/>
      <c r="AZ275" s="325"/>
      <c r="BA275" s="325"/>
      <c r="BB275" s="325"/>
      <c r="BC275" s="325"/>
      <c r="BD275" s="325"/>
      <c r="BE275" s="325"/>
      <c r="BF275" s="325"/>
      <c r="BG275" s="325"/>
      <c r="BH275" s="325"/>
      <c r="BI275" s="325"/>
      <c r="BJ275" s="325"/>
      <c r="BK275" s="325"/>
      <c r="BL275" s="325"/>
      <c r="BM275" s="325"/>
      <c r="BN275" s="325"/>
      <c r="BO275" s="325"/>
      <c r="BP275" s="325"/>
      <c r="BQ275" s="325"/>
      <c r="BR275" s="325"/>
      <c r="BS275" s="325"/>
      <c r="BT275" s="325"/>
      <c r="BU275" s="325"/>
      <c r="BV275" s="325"/>
    </row>
    <row r="276" spans="2:74" x14ac:dyDescent="0.3">
      <c r="B276" s="301"/>
      <c r="C276" s="288"/>
      <c r="D276" s="288"/>
      <c r="E276" s="368"/>
      <c r="F276" s="325"/>
      <c r="G276" s="325"/>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325"/>
      <c r="AD276" s="325"/>
      <c r="AE276" s="325"/>
      <c r="AF276" s="325"/>
      <c r="AG276" s="325"/>
      <c r="AH276" s="325"/>
      <c r="AI276" s="325"/>
      <c r="AJ276" s="325"/>
      <c r="AK276" s="325"/>
      <c r="AL276" s="325"/>
      <c r="AM276" s="325"/>
      <c r="AN276" s="325"/>
      <c r="AO276" s="325"/>
      <c r="AP276" s="325"/>
      <c r="AQ276" s="325"/>
      <c r="AR276" s="325"/>
      <c r="AS276" s="325"/>
      <c r="AT276" s="325"/>
      <c r="AU276" s="325"/>
      <c r="AV276" s="325"/>
      <c r="AW276" s="325"/>
      <c r="AX276" s="325"/>
      <c r="AY276" s="325"/>
      <c r="AZ276" s="325"/>
      <c r="BA276" s="325"/>
      <c r="BB276" s="325"/>
      <c r="BC276" s="325"/>
      <c r="BD276" s="325"/>
      <c r="BE276" s="325"/>
      <c r="BF276" s="325"/>
      <c r="BG276" s="325"/>
      <c r="BH276" s="325"/>
      <c r="BI276" s="325"/>
      <c r="BJ276" s="325"/>
      <c r="BK276" s="325"/>
      <c r="BL276" s="325"/>
      <c r="BM276" s="325"/>
      <c r="BN276" s="325"/>
      <c r="BO276" s="325"/>
      <c r="BP276" s="325"/>
      <c r="BQ276" s="325"/>
      <c r="BR276" s="325"/>
      <c r="BS276" s="325"/>
      <c r="BT276" s="325"/>
      <c r="BU276" s="325"/>
      <c r="BV276" s="325"/>
    </row>
    <row r="277" spans="2:74" x14ac:dyDescent="0.3">
      <c r="B277" s="301"/>
      <c r="C277" s="288"/>
      <c r="D277" s="288"/>
      <c r="E277" s="368"/>
      <c r="F277" s="325"/>
      <c r="G277" s="325"/>
      <c r="H277" s="325"/>
      <c r="I277" s="325"/>
      <c r="J277" s="325"/>
      <c r="K277" s="325"/>
      <c r="L277" s="325"/>
      <c r="M277" s="325"/>
      <c r="N277" s="325"/>
      <c r="O277" s="325"/>
      <c r="P277" s="325"/>
      <c r="Q277" s="325"/>
      <c r="R277" s="325"/>
      <c r="S277" s="325"/>
      <c r="T277" s="325"/>
      <c r="U277" s="325"/>
      <c r="V277" s="325"/>
      <c r="W277" s="325"/>
      <c r="X277" s="325"/>
      <c r="Y277" s="325"/>
      <c r="Z277" s="325"/>
      <c r="AA277" s="325"/>
      <c r="AB277" s="325"/>
      <c r="AC277" s="325"/>
      <c r="AD277" s="325"/>
      <c r="AE277" s="325"/>
      <c r="AF277" s="325"/>
      <c r="AG277" s="325"/>
      <c r="AH277" s="325"/>
      <c r="AI277" s="325"/>
      <c r="AJ277" s="325"/>
      <c r="AK277" s="325"/>
      <c r="AL277" s="325"/>
      <c r="AM277" s="325"/>
      <c r="AN277" s="325"/>
      <c r="AO277" s="325"/>
      <c r="AP277" s="325"/>
      <c r="AQ277" s="325"/>
      <c r="AR277" s="325"/>
      <c r="AS277" s="325"/>
      <c r="AT277" s="325"/>
      <c r="AU277" s="325"/>
      <c r="AV277" s="325"/>
      <c r="AW277" s="325"/>
      <c r="AX277" s="325"/>
      <c r="AY277" s="325"/>
      <c r="AZ277" s="325"/>
      <c r="BA277" s="325"/>
      <c r="BB277" s="325"/>
      <c r="BC277" s="325"/>
      <c r="BD277" s="325"/>
      <c r="BE277" s="325"/>
      <c r="BF277" s="325"/>
      <c r="BG277" s="325"/>
      <c r="BH277" s="325"/>
      <c r="BI277" s="325"/>
      <c r="BJ277" s="325"/>
      <c r="BK277" s="325"/>
      <c r="BL277" s="325"/>
      <c r="BM277" s="325"/>
      <c r="BN277" s="325"/>
      <c r="BO277" s="325"/>
      <c r="BP277" s="325"/>
      <c r="BQ277" s="325"/>
      <c r="BR277" s="325"/>
      <c r="BS277" s="325"/>
      <c r="BT277" s="325"/>
      <c r="BU277" s="325"/>
      <c r="BV277" s="325"/>
    </row>
    <row r="278" spans="2:74" x14ac:dyDescent="0.3">
      <c r="B278" s="301"/>
      <c r="C278" s="288"/>
      <c r="D278" s="288"/>
      <c r="E278" s="368"/>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c r="AD278" s="325"/>
      <c r="AE278" s="325"/>
      <c r="AF278" s="325"/>
      <c r="AG278" s="325"/>
      <c r="AH278" s="325"/>
      <c r="AI278" s="325"/>
      <c r="AJ278" s="325"/>
      <c r="AK278" s="325"/>
      <c r="AL278" s="325"/>
      <c r="AM278" s="325"/>
      <c r="AN278" s="325"/>
      <c r="AO278" s="325"/>
      <c r="AP278" s="325"/>
      <c r="AQ278" s="325"/>
      <c r="AR278" s="325"/>
      <c r="AS278" s="325"/>
      <c r="AT278" s="325"/>
      <c r="AU278" s="325"/>
      <c r="AV278" s="325"/>
      <c r="AW278" s="325"/>
      <c r="AX278" s="325"/>
      <c r="AY278" s="325"/>
      <c r="AZ278" s="325"/>
      <c r="BA278" s="325"/>
      <c r="BB278" s="325"/>
      <c r="BC278" s="325"/>
      <c r="BD278" s="325"/>
      <c r="BE278" s="325"/>
      <c r="BF278" s="325"/>
      <c r="BG278" s="325"/>
      <c r="BH278" s="325"/>
      <c r="BI278" s="325"/>
      <c r="BJ278" s="325"/>
      <c r="BK278" s="325"/>
      <c r="BL278" s="325"/>
      <c r="BM278" s="325"/>
      <c r="BN278" s="325"/>
      <c r="BO278" s="325"/>
      <c r="BP278" s="325"/>
      <c r="BQ278" s="325"/>
      <c r="BR278" s="325"/>
      <c r="BS278" s="325"/>
      <c r="BT278" s="325"/>
      <c r="BU278" s="325"/>
      <c r="BV278" s="325"/>
    </row>
    <row r="279" spans="2:74" x14ac:dyDescent="0.3">
      <c r="B279" s="301"/>
      <c r="C279" s="288"/>
      <c r="D279" s="288"/>
      <c r="E279" s="368"/>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c r="AD279" s="325"/>
      <c r="AE279" s="325"/>
      <c r="AF279" s="325"/>
      <c r="AG279" s="325"/>
      <c r="AH279" s="325"/>
      <c r="AI279" s="325"/>
      <c r="AJ279" s="325"/>
      <c r="AK279" s="325"/>
      <c r="AL279" s="325"/>
      <c r="AM279" s="325"/>
      <c r="AN279" s="325"/>
      <c r="AO279" s="325"/>
      <c r="AP279" s="325"/>
      <c r="AQ279" s="325"/>
      <c r="AR279" s="325"/>
      <c r="AS279" s="325"/>
      <c r="AT279" s="325"/>
      <c r="AU279" s="325"/>
      <c r="AV279" s="325"/>
      <c r="AW279" s="325"/>
      <c r="AX279" s="325"/>
      <c r="AY279" s="325"/>
      <c r="AZ279" s="325"/>
      <c r="BA279" s="325"/>
      <c r="BB279" s="325"/>
      <c r="BC279" s="325"/>
      <c r="BD279" s="325"/>
      <c r="BE279" s="325"/>
      <c r="BF279" s="325"/>
      <c r="BG279" s="325"/>
      <c r="BH279" s="325"/>
      <c r="BI279" s="325"/>
      <c r="BJ279" s="325"/>
      <c r="BK279" s="325"/>
      <c r="BL279" s="325"/>
      <c r="BM279" s="325"/>
      <c r="BN279" s="325"/>
      <c r="BO279" s="325"/>
      <c r="BP279" s="325"/>
      <c r="BQ279" s="325"/>
      <c r="BR279" s="325"/>
      <c r="BS279" s="325"/>
      <c r="BT279" s="325"/>
      <c r="BU279" s="325"/>
      <c r="BV279" s="325"/>
    </row>
    <row r="280" spans="2:74" x14ac:dyDescent="0.3">
      <c r="B280" s="301"/>
      <c r="C280" s="288"/>
      <c r="D280" s="288"/>
      <c r="E280" s="368"/>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325"/>
      <c r="AD280" s="325"/>
      <c r="AE280" s="325"/>
      <c r="AF280" s="325"/>
      <c r="AG280" s="325"/>
      <c r="AH280" s="325"/>
      <c r="AI280" s="325"/>
      <c r="AJ280" s="325"/>
      <c r="AK280" s="325"/>
      <c r="AL280" s="325"/>
      <c r="AM280" s="325"/>
      <c r="AN280" s="325"/>
      <c r="AO280" s="325"/>
      <c r="AP280" s="325"/>
      <c r="AQ280" s="325"/>
      <c r="AR280" s="325"/>
      <c r="AS280" s="325"/>
      <c r="AT280" s="325"/>
      <c r="AU280" s="325"/>
      <c r="AV280" s="325"/>
      <c r="AW280" s="325"/>
      <c r="AX280" s="325"/>
      <c r="AY280" s="325"/>
      <c r="AZ280" s="325"/>
      <c r="BA280" s="325"/>
      <c r="BB280" s="325"/>
      <c r="BC280" s="325"/>
      <c r="BD280" s="325"/>
      <c r="BE280" s="325"/>
      <c r="BF280" s="325"/>
      <c r="BG280" s="325"/>
      <c r="BH280" s="325"/>
      <c r="BI280" s="325"/>
      <c r="BJ280" s="325"/>
      <c r="BK280" s="325"/>
      <c r="BL280" s="325"/>
      <c r="BM280" s="325"/>
      <c r="BN280" s="325"/>
      <c r="BO280" s="325"/>
      <c r="BP280" s="325"/>
      <c r="BQ280" s="325"/>
      <c r="BR280" s="325"/>
      <c r="BS280" s="325"/>
      <c r="BT280" s="325"/>
      <c r="BU280" s="325"/>
      <c r="BV280" s="325"/>
    </row>
    <row r="281" spans="2:74" x14ac:dyDescent="0.3">
      <c r="B281" s="301"/>
      <c r="C281" s="288"/>
      <c r="D281" s="288"/>
      <c r="E281" s="368"/>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BF281" s="325"/>
      <c r="BG281" s="325"/>
      <c r="BH281" s="325"/>
      <c r="BI281" s="325"/>
      <c r="BJ281" s="325"/>
      <c r="BK281" s="325"/>
      <c r="BL281" s="325"/>
      <c r="BM281" s="325"/>
      <c r="BN281" s="325"/>
      <c r="BO281" s="325"/>
      <c r="BP281" s="325"/>
      <c r="BQ281" s="325"/>
      <c r="BR281" s="325"/>
      <c r="BS281" s="325"/>
      <c r="BT281" s="325"/>
      <c r="BU281" s="325"/>
      <c r="BV281" s="325"/>
    </row>
    <row r="282" spans="2:74" x14ac:dyDescent="0.3">
      <c r="B282" s="301"/>
      <c r="C282" s="288"/>
      <c r="D282" s="288"/>
      <c r="E282" s="368"/>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5"/>
      <c r="AG282" s="325"/>
      <c r="AH282" s="325"/>
      <c r="AI282" s="325"/>
      <c r="AJ282" s="325"/>
      <c r="AK282" s="325"/>
      <c r="AL282" s="325"/>
      <c r="AM282" s="325"/>
      <c r="AN282" s="325"/>
      <c r="AO282" s="325"/>
      <c r="AP282" s="325"/>
      <c r="AQ282" s="325"/>
      <c r="AR282" s="325"/>
      <c r="AS282" s="325"/>
      <c r="AT282" s="325"/>
      <c r="AU282" s="325"/>
      <c r="AV282" s="325"/>
      <c r="AW282" s="325"/>
      <c r="AX282" s="325"/>
      <c r="AY282" s="325"/>
      <c r="AZ282" s="325"/>
      <c r="BA282" s="325"/>
      <c r="BB282" s="325"/>
      <c r="BC282" s="325"/>
      <c r="BD282" s="325"/>
      <c r="BE282" s="325"/>
      <c r="BF282" s="325"/>
      <c r="BG282" s="325"/>
      <c r="BH282" s="325"/>
      <c r="BI282" s="325"/>
      <c r="BJ282" s="325"/>
      <c r="BK282" s="325"/>
      <c r="BL282" s="325"/>
      <c r="BM282" s="325"/>
      <c r="BN282" s="325"/>
      <c r="BO282" s="325"/>
      <c r="BP282" s="325"/>
      <c r="BQ282" s="325"/>
      <c r="BR282" s="325"/>
      <c r="BS282" s="325"/>
      <c r="BT282" s="325"/>
      <c r="BU282" s="325"/>
      <c r="BV282" s="325"/>
    </row>
    <row r="283" spans="2:74" x14ac:dyDescent="0.3">
      <c r="B283" s="301"/>
      <c r="C283" s="288"/>
      <c r="D283" s="288"/>
      <c r="E283" s="368"/>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5"/>
      <c r="AE283" s="325"/>
      <c r="AF283" s="325"/>
      <c r="AG283" s="325"/>
      <c r="AH283" s="325"/>
      <c r="AI283" s="325"/>
      <c r="AJ283" s="325"/>
      <c r="AK283" s="325"/>
      <c r="AL283" s="325"/>
      <c r="AM283" s="325"/>
      <c r="AN283" s="325"/>
      <c r="AO283" s="325"/>
      <c r="AP283" s="325"/>
      <c r="AQ283" s="325"/>
      <c r="AR283" s="325"/>
      <c r="AS283" s="325"/>
      <c r="AT283" s="325"/>
      <c r="AU283" s="325"/>
      <c r="AV283" s="325"/>
      <c r="AW283" s="325"/>
      <c r="AX283" s="325"/>
      <c r="AY283" s="325"/>
      <c r="AZ283" s="325"/>
      <c r="BA283" s="325"/>
      <c r="BB283" s="325"/>
      <c r="BC283" s="325"/>
      <c r="BD283" s="325"/>
      <c r="BE283" s="325"/>
      <c r="BF283" s="325"/>
      <c r="BG283" s="325"/>
      <c r="BH283" s="325"/>
      <c r="BI283" s="325"/>
      <c r="BJ283" s="325"/>
      <c r="BK283" s="325"/>
      <c r="BL283" s="325"/>
      <c r="BM283" s="325"/>
      <c r="BN283" s="325"/>
      <c r="BO283" s="325"/>
      <c r="BP283" s="325"/>
      <c r="BQ283" s="325"/>
      <c r="BR283" s="325"/>
      <c r="BS283" s="325"/>
      <c r="BT283" s="325"/>
      <c r="BU283" s="325"/>
      <c r="BV283" s="325"/>
    </row>
    <row r="284" spans="2:74" x14ac:dyDescent="0.3">
      <c r="B284" s="301"/>
      <c r="C284" s="288"/>
      <c r="D284" s="288"/>
      <c r="E284" s="368"/>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c r="AD284" s="325"/>
      <c r="AE284" s="325"/>
      <c r="AF284" s="325"/>
      <c r="AG284" s="325"/>
      <c r="AH284" s="325"/>
      <c r="AI284" s="325"/>
      <c r="AJ284" s="325"/>
      <c r="AK284" s="325"/>
      <c r="AL284" s="325"/>
      <c r="AM284" s="325"/>
      <c r="AN284" s="325"/>
      <c r="AO284" s="325"/>
      <c r="AP284" s="325"/>
      <c r="AQ284" s="325"/>
      <c r="AR284" s="325"/>
      <c r="AS284" s="325"/>
      <c r="AT284" s="325"/>
      <c r="AU284" s="325"/>
      <c r="AV284" s="325"/>
      <c r="AW284" s="325"/>
      <c r="AX284" s="325"/>
      <c r="AY284" s="325"/>
      <c r="AZ284" s="325"/>
      <c r="BA284" s="325"/>
      <c r="BB284" s="325"/>
      <c r="BC284" s="325"/>
      <c r="BD284" s="325"/>
      <c r="BE284" s="325"/>
      <c r="BF284" s="325"/>
      <c r="BG284" s="325"/>
      <c r="BH284" s="325"/>
      <c r="BI284" s="325"/>
      <c r="BJ284" s="325"/>
      <c r="BK284" s="325"/>
      <c r="BL284" s="325"/>
      <c r="BM284" s="325"/>
      <c r="BN284" s="325"/>
      <c r="BO284" s="325"/>
      <c r="BP284" s="325"/>
      <c r="BQ284" s="325"/>
      <c r="BR284" s="325"/>
      <c r="BS284" s="325"/>
      <c r="BT284" s="325"/>
      <c r="BU284" s="325"/>
      <c r="BV284" s="325"/>
    </row>
    <row r="285" spans="2:74" x14ac:dyDescent="0.3">
      <c r="B285" s="301"/>
      <c r="C285" s="301"/>
      <c r="D285" s="301"/>
      <c r="E285" s="368"/>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5"/>
      <c r="AG285" s="325"/>
      <c r="AH285" s="325"/>
      <c r="AI285" s="325"/>
      <c r="AJ285" s="325"/>
      <c r="AK285" s="325"/>
      <c r="AL285" s="325"/>
      <c r="AM285" s="325"/>
      <c r="AN285" s="325"/>
      <c r="AO285" s="325"/>
      <c r="AP285" s="325"/>
      <c r="AQ285" s="325"/>
      <c r="AR285" s="325"/>
      <c r="AS285" s="325"/>
      <c r="AT285" s="325"/>
      <c r="AU285" s="325"/>
      <c r="AV285" s="325"/>
      <c r="AW285" s="325"/>
      <c r="AX285" s="325"/>
      <c r="AY285" s="325"/>
      <c r="AZ285" s="325"/>
      <c r="BA285" s="325"/>
      <c r="BB285" s="325"/>
      <c r="BC285" s="325"/>
      <c r="BD285" s="325"/>
      <c r="BE285" s="325"/>
      <c r="BF285" s="325"/>
      <c r="BG285" s="325"/>
      <c r="BH285" s="325"/>
      <c r="BI285" s="325"/>
      <c r="BJ285" s="325"/>
      <c r="BK285" s="325"/>
      <c r="BL285" s="325"/>
      <c r="BM285" s="325"/>
      <c r="BN285" s="325"/>
      <c r="BO285" s="325"/>
      <c r="BP285" s="325"/>
      <c r="BQ285" s="325"/>
      <c r="BR285" s="325"/>
      <c r="BS285" s="325"/>
      <c r="BT285" s="325"/>
      <c r="BU285" s="325"/>
      <c r="BV285" s="325"/>
    </row>
    <row r="286" spans="2:74" x14ac:dyDescent="0.3">
      <c r="B286" s="301"/>
      <c r="C286" s="301"/>
      <c r="D286" s="301"/>
      <c r="E286" s="368"/>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5"/>
      <c r="AG286" s="325"/>
      <c r="AH286" s="325"/>
      <c r="AI286" s="325"/>
      <c r="AJ286" s="325"/>
      <c r="AK286" s="325"/>
      <c r="AL286" s="325"/>
      <c r="AM286" s="325"/>
      <c r="AN286" s="325"/>
      <c r="AO286" s="325"/>
      <c r="AP286" s="325"/>
      <c r="AQ286" s="325"/>
      <c r="AR286" s="325"/>
      <c r="AS286" s="325"/>
      <c r="AT286" s="325"/>
      <c r="AU286" s="325"/>
      <c r="AV286" s="325"/>
      <c r="AW286" s="325"/>
      <c r="AX286" s="325"/>
      <c r="AY286" s="325"/>
      <c r="AZ286" s="325"/>
      <c r="BA286" s="325"/>
      <c r="BB286" s="325"/>
      <c r="BC286" s="325"/>
      <c r="BD286" s="325"/>
      <c r="BE286" s="325"/>
      <c r="BF286" s="325"/>
      <c r="BG286" s="325"/>
      <c r="BH286" s="325"/>
      <c r="BI286" s="325"/>
      <c r="BJ286" s="325"/>
      <c r="BK286" s="325"/>
      <c r="BL286" s="325"/>
      <c r="BM286" s="325"/>
      <c r="BN286" s="325"/>
      <c r="BO286" s="325"/>
      <c r="BP286" s="325"/>
      <c r="BQ286" s="325"/>
      <c r="BR286" s="325"/>
      <c r="BS286" s="325"/>
      <c r="BT286" s="325"/>
      <c r="BU286" s="325"/>
      <c r="BV286" s="325"/>
    </row>
    <row r="287" spans="2:74" x14ac:dyDescent="0.3">
      <c r="B287" s="301"/>
      <c r="C287" s="288"/>
      <c r="D287" s="288"/>
      <c r="E287" s="368"/>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c r="AG287" s="325"/>
      <c r="AH287" s="325"/>
      <c r="AI287" s="325"/>
      <c r="AJ287" s="325"/>
      <c r="AK287" s="325"/>
      <c r="AL287" s="325"/>
      <c r="AM287" s="325"/>
      <c r="AN287" s="325"/>
      <c r="AO287" s="325"/>
      <c r="AP287" s="325"/>
      <c r="AQ287" s="325"/>
      <c r="AR287" s="325"/>
      <c r="AS287" s="325"/>
      <c r="AT287" s="325"/>
      <c r="AU287" s="325"/>
      <c r="AV287" s="325"/>
      <c r="AW287" s="325"/>
      <c r="AX287" s="325"/>
      <c r="AY287" s="325"/>
      <c r="AZ287" s="325"/>
      <c r="BA287" s="325"/>
      <c r="BB287" s="325"/>
      <c r="BC287" s="325"/>
      <c r="BD287" s="325"/>
      <c r="BE287" s="325"/>
      <c r="BF287" s="325"/>
      <c r="BG287" s="325"/>
      <c r="BH287" s="325"/>
      <c r="BI287" s="325"/>
      <c r="BJ287" s="325"/>
      <c r="BK287" s="325"/>
      <c r="BL287" s="325"/>
      <c r="BM287" s="325"/>
      <c r="BN287" s="325"/>
      <c r="BO287" s="325"/>
      <c r="BP287" s="325"/>
      <c r="BQ287" s="325"/>
      <c r="BR287" s="325"/>
      <c r="BS287" s="325"/>
      <c r="BT287" s="325"/>
      <c r="BU287" s="325"/>
      <c r="BV287" s="325"/>
    </row>
    <row r="288" spans="2:74" x14ac:dyDescent="0.3">
      <c r="B288" s="301"/>
      <c r="C288" s="288"/>
      <c r="D288" s="288"/>
      <c r="E288" s="368"/>
      <c r="F288" s="325"/>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5"/>
      <c r="AG288" s="325"/>
      <c r="AH288" s="325"/>
      <c r="AI288" s="325"/>
      <c r="AJ288" s="325"/>
      <c r="AK288" s="325"/>
      <c r="AL288" s="325"/>
      <c r="AM288" s="325"/>
      <c r="AN288" s="325"/>
      <c r="AO288" s="325"/>
      <c r="AP288" s="325"/>
      <c r="AQ288" s="325"/>
      <c r="AR288" s="325"/>
      <c r="AS288" s="325"/>
      <c r="AT288" s="325"/>
      <c r="AU288" s="325"/>
      <c r="AV288" s="325"/>
      <c r="AW288" s="325"/>
      <c r="AX288" s="325"/>
      <c r="AY288" s="325"/>
      <c r="AZ288" s="325"/>
      <c r="BA288" s="325"/>
      <c r="BB288" s="325"/>
      <c r="BC288" s="325"/>
      <c r="BD288" s="325"/>
      <c r="BE288" s="325"/>
      <c r="BF288" s="325"/>
      <c r="BG288" s="325"/>
      <c r="BH288" s="325"/>
      <c r="BI288" s="325"/>
      <c r="BJ288" s="325"/>
      <c r="BK288" s="325"/>
      <c r="BL288" s="325"/>
      <c r="BM288" s="325"/>
      <c r="BN288" s="325"/>
      <c r="BO288" s="325"/>
      <c r="BP288" s="325"/>
      <c r="BQ288" s="325"/>
      <c r="BR288" s="325"/>
      <c r="BS288" s="325"/>
      <c r="BT288" s="325"/>
      <c r="BU288" s="325"/>
      <c r="BV288" s="325"/>
    </row>
    <row r="289" spans="2:74" x14ac:dyDescent="0.3">
      <c r="B289" s="301"/>
      <c r="C289" s="288"/>
      <c r="D289" s="288"/>
      <c r="E289" s="368"/>
      <c r="F289" s="325"/>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5"/>
      <c r="AG289" s="325"/>
      <c r="AH289" s="325"/>
      <c r="AI289" s="325"/>
      <c r="AJ289" s="325"/>
      <c r="AK289" s="325"/>
      <c r="AL289" s="325"/>
      <c r="AM289" s="325"/>
      <c r="AN289" s="325"/>
      <c r="AO289" s="325"/>
      <c r="AP289" s="325"/>
      <c r="AQ289" s="325"/>
      <c r="AR289" s="325"/>
      <c r="AS289" s="325"/>
      <c r="AT289" s="325"/>
      <c r="AU289" s="325"/>
      <c r="AV289" s="325"/>
      <c r="AW289" s="325"/>
      <c r="AX289" s="325"/>
      <c r="AY289" s="325"/>
      <c r="AZ289" s="325"/>
      <c r="BA289" s="325"/>
      <c r="BB289" s="325"/>
      <c r="BC289" s="325"/>
      <c r="BD289" s="325"/>
      <c r="BE289" s="325"/>
      <c r="BF289" s="325"/>
      <c r="BG289" s="325"/>
      <c r="BH289" s="325"/>
      <c r="BI289" s="325"/>
      <c r="BJ289" s="325"/>
      <c r="BK289" s="325"/>
      <c r="BL289" s="325"/>
      <c r="BM289" s="325"/>
      <c r="BN289" s="325"/>
      <c r="BO289" s="325"/>
      <c r="BP289" s="325"/>
      <c r="BQ289" s="325"/>
      <c r="BR289" s="325"/>
      <c r="BS289" s="325"/>
      <c r="BT289" s="325"/>
      <c r="BU289" s="325"/>
      <c r="BV289" s="325"/>
    </row>
  </sheetData>
  <mergeCells count="16">
    <mergeCell ref="B26:C26"/>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 right="0.7" top="0.75" bottom="0.75" header="0.3" footer="0.3"/>
  <pageSetup paperSize="9" scale="3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90"/>
  <sheetViews>
    <sheetView view="pageBreakPreview" zoomScale="112" zoomScaleNormal="100" zoomScaleSheetLayoutView="112" workbookViewId="0">
      <selection activeCell="N16" sqref="N16"/>
    </sheetView>
  </sheetViews>
  <sheetFormatPr defaultRowHeight="13.8" x14ac:dyDescent="0.3"/>
  <cols>
    <col min="1" max="1" width="2.88671875" style="262" customWidth="1"/>
    <col min="2" max="2" width="3.33203125" style="262" customWidth="1"/>
    <col min="3" max="3" width="69.33203125" style="262" customWidth="1"/>
    <col min="4" max="4" width="6" style="262" customWidth="1"/>
    <col min="5" max="8" width="13.5546875" style="262" hidden="1" customWidth="1"/>
    <col min="9" max="9" width="13.5546875" style="262" customWidth="1"/>
    <col min="10" max="13" width="13.5546875" style="262" hidden="1" customWidth="1"/>
    <col min="14" max="14" width="13.5546875" style="262" customWidth="1"/>
    <col min="15" max="15" width="12.6640625" style="262" hidden="1" customWidth="1"/>
    <col min="16" max="17" width="11.33203125" style="262" hidden="1" customWidth="1"/>
    <col min="18" max="18" width="12.6640625" style="262" hidden="1" customWidth="1"/>
    <col min="19" max="19" width="13.109375" style="262" customWidth="1"/>
    <col min="20" max="22" width="11.33203125" style="262" hidden="1" customWidth="1"/>
    <col min="23" max="23" width="12.6640625" style="262" hidden="1" customWidth="1"/>
    <col min="24" max="24" width="12.6640625" style="262" customWidth="1"/>
    <col min="25" max="27" width="11.33203125" style="262" hidden="1" customWidth="1"/>
    <col min="28" max="28" width="12.6640625" style="262" hidden="1" customWidth="1"/>
    <col min="29" max="29" width="11.33203125" style="262" customWidth="1"/>
    <col min="30" max="30" width="12.33203125" style="262" hidden="1" customWidth="1"/>
    <col min="31" max="31" width="12.6640625" style="262" hidden="1" customWidth="1"/>
    <col min="32" max="32" width="11.33203125" style="262" hidden="1" customWidth="1"/>
    <col min="33" max="33" width="12.6640625" style="262" hidden="1" customWidth="1"/>
    <col min="34" max="34" width="10.88671875" style="262" customWidth="1"/>
    <col min="35" max="35" width="11.33203125" style="262" hidden="1" customWidth="1"/>
    <col min="36" max="36" width="13.5546875" style="262" hidden="1" customWidth="1"/>
    <col min="37" max="37" width="11.33203125" style="262" hidden="1" customWidth="1"/>
    <col min="38" max="38" width="13.33203125" style="262" hidden="1" customWidth="1"/>
    <col min="39" max="39" width="11.33203125" style="262" customWidth="1"/>
    <col min="40" max="42" width="11.33203125" style="262" hidden="1" customWidth="1"/>
    <col min="43" max="43" width="12.6640625" style="262" hidden="1" customWidth="1"/>
    <col min="44" max="44" width="11.33203125" style="262" customWidth="1"/>
    <col min="45" max="48" width="13.5546875" style="262" hidden="1" customWidth="1"/>
    <col min="49" max="49" width="13.5546875" style="262" customWidth="1"/>
    <col min="50" max="53" width="13.5546875" style="262" hidden="1" customWidth="1"/>
    <col min="54" max="54" width="13.109375" style="262" customWidth="1"/>
    <col min="55" max="57" width="11.33203125" style="262" hidden="1" customWidth="1"/>
    <col min="58" max="58" width="12.6640625" style="262" hidden="1" customWidth="1"/>
    <col min="59" max="59" width="11.33203125" style="262" customWidth="1"/>
    <col min="60" max="62" width="15" style="262" hidden="1" customWidth="1"/>
    <col min="63" max="63" width="13.109375" style="262" hidden="1" customWidth="1"/>
    <col min="64" max="64" width="11.33203125" style="262" customWidth="1"/>
    <col min="65" max="66" width="12.88671875" style="262" hidden="1" customWidth="1"/>
    <col min="67" max="67" width="12" style="262" hidden="1" customWidth="1"/>
    <col min="68" max="68" width="13.109375" style="262" hidden="1" customWidth="1"/>
    <col min="69" max="69" width="12.88671875" style="262" customWidth="1"/>
    <col min="70" max="73" width="13.5546875" style="262" hidden="1" customWidth="1"/>
    <col min="74" max="74" width="13.5546875" style="262" customWidth="1"/>
    <col min="75" max="75" width="3.33203125" style="262" customWidth="1"/>
    <col min="76" max="76" width="7.88671875" style="262" hidden="1" customWidth="1"/>
    <col min="77" max="77" width="3.33203125" style="262" hidden="1" customWidth="1"/>
    <col min="78" max="79" width="10.6640625" style="262" hidden="1" customWidth="1"/>
    <col min="80" max="81" width="9.88671875" style="262" hidden="1" customWidth="1"/>
    <col min="82" max="82" width="0" style="262" hidden="1" customWidth="1"/>
    <col min="83" max="256" width="9.109375" style="262"/>
    <col min="257" max="257" width="2.88671875" style="262" customWidth="1"/>
    <col min="258" max="258" width="3.33203125" style="262" customWidth="1"/>
    <col min="259" max="259" width="69.33203125" style="262" customWidth="1"/>
    <col min="260" max="260" width="6" style="262" customWidth="1"/>
    <col min="261" max="265" width="13.5546875" style="262" customWidth="1"/>
    <col min="266" max="320" width="0" style="262" hidden="1" customWidth="1"/>
    <col min="321" max="322" width="12.88671875" style="262" customWidth="1"/>
    <col min="323" max="323" width="12" style="262" customWidth="1"/>
    <col min="324" max="324" width="13.109375" style="262" customWidth="1"/>
    <col min="325" max="325" width="12.88671875" style="262" customWidth="1"/>
    <col min="326" max="330" width="13.5546875" style="262" customWidth="1"/>
    <col min="331" max="331" width="3.33203125" style="262" customWidth="1"/>
    <col min="332" max="338" width="0" style="262" hidden="1" customWidth="1"/>
    <col min="339" max="512" width="9.109375" style="262"/>
    <col min="513" max="513" width="2.88671875" style="262" customWidth="1"/>
    <col min="514" max="514" width="3.33203125" style="262" customWidth="1"/>
    <col min="515" max="515" width="69.33203125" style="262" customWidth="1"/>
    <col min="516" max="516" width="6" style="262" customWidth="1"/>
    <col min="517" max="521" width="13.5546875" style="262" customWidth="1"/>
    <col min="522" max="576" width="0" style="262" hidden="1" customWidth="1"/>
    <col min="577" max="578" width="12.88671875" style="262" customWidth="1"/>
    <col min="579" max="579" width="12" style="262" customWidth="1"/>
    <col min="580" max="580" width="13.109375" style="262" customWidth="1"/>
    <col min="581" max="581" width="12.88671875" style="262" customWidth="1"/>
    <col min="582" max="586" width="13.5546875" style="262" customWidth="1"/>
    <col min="587" max="587" width="3.33203125" style="262" customWidth="1"/>
    <col min="588" max="594" width="0" style="262" hidden="1" customWidth="1"/>
    <col min="595" max="768" width="9.109375" style="262"/>
    <col min="769" max="769" width="2.88671875" style="262" customWidth="1"/>
    <col min="770" max="770" width="3.33203125" style="262" customWidth="1"/>
    <col min="771" max="771" width="69.33203125" style="262" customWidth="1"/>
    <col min="772" max="772" width="6" style="262" customWidth="1"/>
    <col min="773" max="777" width="13.5546875" style="262" customWidth="1"/>
    <col min="778" max="832" width="0" style="262" hidden="1" customWidth="1"/>
    <col min="833" max="834" width="12.88671875" style="262" customWidth="1"/>
    <col min="835" max="835" width="12" style="262" customWidth="1"/>
    <col min="836" max="836" width="13.109375" style="262" customWidth="1"/>
    <col min="837" max="837" width="12.88671875" style="262" customWidth="1"/>
    <col min="838" max="842" width="13.5546875" style="262" customWidth="1"/>
    <col min="843" max="843" width="3.33203125" style="262" customWidth="1"/>
    <col min="844" max="850" width="0" style="262" hidden="1" customWidth="1"/>
    <col min="851" max="1024" width="9.109375" style="262"/>
    <col min="1025" max="1025" width="2.88671875" style="262" customWidth="1"/>
    <col min="1026" max="1026" width="3.33203125" style="262" customWidth="1"/>
    <col min="1027" max="1027" width="69.33203125" style="262" customWidth="1"/>
    <col min="1028" max="1028" width="6" style="262" customWidth="1"/>
    <col min="1029" max="1033" width="13.5546875" style="262" customWidth="1"/>
    <col min="1034" max="1088" width="0" style="262" hidden="1" customWidth="1"/>
    <col min="1089" max="1090" width="12.88671875" style="262" customWidth="1"/>
    <col min="1091" max="1091" width="12" style="262" customWidth="1"/>
    <col min="1092" max="1092" width="13.109375" style="262" customWidth="1"/>
    <col min="1093" max="1093" width="12.88671875" style="262" customWidth="1"/>
    <col min="1094" max="1098" width="13.5546875" style="262" customWidth="1"/>
    <col min="1099" max="1099" width="3.33203125" style="262" customWidth="1"/>
    <col min="1100" max="1106" width="0" style="262" hidden="1" customWidth="1"/>
    <col min="1107" max="1280" width="9.109375" style="262"/>
    <col min="1281" max="1281" width="2.88671875" style="262" customWidth="1"/>
    <col min="1282" max="1282" width="3.33203125" style="262" customWidth="1"/>
    <col min="1283" max="1283" width="69.33203125" style="262" customWidth="1"/>
    <col min="1284" max="1284" width="6" style="262" customWidth="1"/>
    <col min="1285" max="1289" width="13.5546875" style="262" customWidth="1"/>
    <col min="1290" max="1344" width="0" style="262" hidden="1" customWidth="1"/>
    <col min="1345" max="1346" width="12.88671875" style="262" customWidth="1"/>
    <col min="1347" max="1347" width="12" style="262" customWidth="1"/>
    <col min="1348" max="1348" width="13.109375" style="262" customWidth="1"/>
    <col min="1349" max="1349" width="12.88671875" style="262" customWidth="1"/>
    <col min="1350" max="1354" width="13.5546875" style="262" customWidth="1"/>
    <col min="1355" max="1355" width="3.33203125" style="262" customWidth="1"/>
    <col min="1356" max="1362" width="0" style="262" hidden="1" customWidth="1"/>
    <col min="1363" max="1536" width="9.109375" style="262"/>
    <col min="1537" max="1537" width="2.88671875" style="262" customWidth="1"/>
    <col min="1538" max="1538" width="3.33203125" style="262" customWidth="1"/>
    <col min="1539" max="1539" width="69.33203125" style="262" customWidth="1"/>
    <col min="1540" max="1540" width="6" style="262" customWidth="1"/>
    <col min="1541" max="1545" width="13.5546875" style="262" customWidth="1"/>
    <col min="1546" max="1600" width="0" style="262" hidden="1" customWidth="1"/>
    <col min="1601" max="1602" width="12.88671875" style="262" customWidth="1"/>
    <col min="1603" max="1603" width="12" style="262" customWidth="1"/>
    <col min="1604" max="1604" width="13.109375" style="262" customWidth="1"/>
    <col min="1605" max="1605" width="12.88671875" style="262" customWidth="1"/>
    <col min="1606" max="1610" width="13.5546875" style="262" customWidth="1"/>
    <col min="1611" max="1611" width="3.33203125" style="262" customWidth="1"/>
    <col min="1612" max="1618" width="0" style="262" hidden="1" customWidth="1"/>
    <col min="1619" max="1792" width="9.109375" style="262"/>
    <col min="1793" max="1793" width="2.88671875" style="262" customWidth="1"/>
    <col min="1794" max="1794" width="3.33203125" style="262" customWidth="1"/>
    <col min="1795" max="1795" width="69.33203125" style="262" customWidth="1"/>
    <col min="1796" max="1796" width="6" style="262" customWidth="1"/>
    <col min="1797" max="1801" width="13.5546875" style="262" customWidth="1"/>
    <col min="1802" max="1856" width="0" style="262" hidden="1" customWidth="1"/>
    <col min="1857" max="1858" width="12.88671875" style="262" customWidth="1"/>
    <col min="1859" max="1859" width="12" style="262" customWidth="1"/>
    <col min="1860" max="1860" width="13.109375" style="262" customWidth="1"/>
    <col min="1861" max="1861" width="12.88671875" style="262" customWidth="1"/>
    <col min="1862" max="1866" width="13.5546875" style="262" customWidth="1"/>
    <col min="1867" max="1867" width="3.33203125" style="262" customWidth="1"/>
    <col min="1868" max="1874" width="0" style="262" hidden="1" customWidth="1"/>
    <col min="1875" max="2048" width="9.109375" style="262"/>
    <col min="2049" max="2049" width="2.88671875" style="262" customWidth="1"/>
    <col min="2050" max="2050" width="3.33203125" style="262" customWidth="1"/>
    <col min="2051" max="2051" width="69.33203125" style="262" customWidth="1"/>
    <col min="2052" max="2052" width="6" style="262" customWidth="1"/>
    <col min="2053" max="2057" width="13.5546875" style="262" customWidth="1"/>
    <col min="2058" max="2112" width="0" style="262" hidden="1" customWidth="1"/>
    <col min="2113" max="2114" width="12.88671875" style="262" customWidth="1"/>
    <col min="2115" max="2115" width="12" style="262" customWidth="1"/>
    <col min="2116" max="2116" width="13.109375" style="262" customWidth="1"/>
    <col min="2117" max="2117" width="12.88671875" style="262" customWidth="1"/>
    <col min="2118" max="2122" width="13.5546875" style="262" customWidth="1"/>
    <col min="2123" max="2123" width="3.33203125" style="262" customWidth="1"/>
    <col min="2124" max="2130" width="0" style="262" hidden="1" customWidth="1"/>
    <col min="2131" max="2304" width="9.109375" style="262"/>
    <col min="2305" max="2305" width="2.88671875" style="262" customWidth="1"/>
    <col min="2306" max="2306" width="3.33203125" style="262" customWidth="1"/>
    <col min="2307" max="2307" width="69.33203125" style="262" customWidth="1"/>
    <col min="2308" max="2308" width="6" style="262" customWidth="1"/>
    <col min="2309" max="2313" width="13.5546875" style="262" customWidth="1"/>
    <col min="2314" max="2368" width="0" style="262" hidden="1" customWidth="1"/>
    <col min="2369" max="2370" width="12.88671875" style="262" customWidth="1"/>
    <col min="2371" max="2371" width="12" style="262" customWidth="1"/>
    <col min="2372" max="2372" width="13.109375" style="262" customWidth="1"/>
    <col min="2373" max="2373" width="12.88671875" style="262" customWidth="1"/>
    <col min="2374" max="2378" width="13.5546875" style="262" customWidth="1"/>
    <col min="2379" max="2379" width="3.33203125" style="262" customWidth="1"/>
    <col min="2380" max="2386" width="0" style="262" hidden="1" customWidth="1"/>
    <col min="2387" max="2560" width="9.109375" style="262"/>
    <col min="2561" max="2561" width="2.88671875" style="262" customWidth="1"/>
    <col min="2562" max="2562" width="3.33203125" style="262" customWidth="1"/>
    <col min="2563" max="2563" width="69.33203125" style="262" customWidth="1"/>
    <col min="2564" max="2564" width="6" style="262" customWidth="1"/>
    <col min="2565" max="2569" width="13.5546875" style="262" customWidth="1"/>
    <col min="2570" max="2624" width="0" style="262" hidden="1" customWidth="1"/>
    <col min="2625" max="2626" width="12.88671875" style="262" customWidth="1"/>
    <col min="2627" max="2627" width="12" style="262" customWidth="1"/>
    <col min="2628" max="2628" width="13.109375" style="262" customWidth="1"/>
    <col min="2629" max="2629" width="12.88671875" style="262" customWidth="1"/>
    <col min="2630" max="2634" width="13.5546875" style="262" customWidth="1"/>
    <col min="2635" max="2635" width="3.33203125" style="262" customWidth="1"/>
    <col min="2636" max="2642" width="0" style="262" hidden="1" customWidth="1"/>
    <col min="2643" max="2816" width="9.109375" style="262"/>
    <col min="2817" max="2817" width="2.88671875" style="262" customWidth="1"/>
    <col min="2818" max="2818" width="3.33203125" style="262" customWidth="1"/>
    <col min="2819" max="2819" width="69.33203125" style="262" customWidth="1"/>
    <col min="2820" max="2820" width="6" style="262" customWidth="1"/>
    <col min="2821" max="2825" width="13.5546875" style="262" customWidth="1"/>
    <col min="2826" max="2880" width="0" style="262" hidden="1" customWidth="1"/>
    <col min="2881" max="2882" width="12.88671875" style="262" customWidth="1"/>
    <col min="2883" max="2883" width="12" style="262" customWidth="1"/>
    <col min="2884" max="2884" width="13.109375" style="262" customWidth="1"/>
    <col min="2885" max="2885" width="12.88671875" style="262" customWidth="1"/>
    <col min="2886" max="2890" width="13.5546875" style="262" customWidth="1"/>
    <col min="2891" max="2891" width="3.33203125" style="262" customWidth="1"/>
    <col min="2892" max="2898" width="0" style="262" hidden="1" customWidth="1"/>
    <col min="2899" max="3072" width="9.109375" style="262"/>
    <col min="3073" max="3073" width="2.88671875" style="262" customWidth="1"/>
    <col min="3074" max="3074" width="3.33203125" style="262" customWidth="1"/>
    <col min="3075" max="3075" width="69.33203125" style="262" customWidth="1"/>
    <col min="3076" max="3076" width="6" style="262" customWidth="1"/>
    <col min="3077" max="3081" width="13.5546875" style="262" customWidth="1"/>
    <col min="3082" max="3136" width="0" style="262" hidden="1" customWidth="1"/>
    <col min="3137" max="3138" width="12.88671875" style="262" customWidth="1"/>
    <col min="3139" max="3139" width="12" style="262" customWidth="1"/>
    <col min="3140" max="3140" width="13.109375" style="262" customWidth="1"/>
    <col min="3141" max="3141" width="12.88671875" style="262" customWidth="1"/>
    <col min="3142" max="3146" width="13.5546875" style="262" customWidth="1"/>
    <col min="3147" max="3147" width="3.33203125" style="262" customWidth="1"/>
    <col min="3148" max="3154" width="0" style="262" hidden="1" customWidth="1"/>
    <col min="3155" max="3328" width="9.109375" style="262"/>
    <col min="3329" max="3329" width="2.88671875" style="262" customWidth="1"/>
    <col min="3330" max="3330" width="3.33203125" style="262" customWidth="1"/>
    <col min="3331" max="3331" width="69.33203125" style="262" customWidth="1"/>
    <col min="3332" max="3332" width="6" style="262" customWidth="1"/>
    <col min="3333" max="3337" width="13.5546875" style="262" customWidth="1"/>
    <col min="3338" max="3392" width="0" style="262" hidden="1" customWidth="1"/>
    <col min="3393" max="3394" width="12.88671875" style="262" customWidth="1"/>
    <col min="3395" max="3395" width="12" style="262" customWidth="1"/>
    <col min="3396" max="3396" width="13.109375" style="262" customWidth="1"/>
    <col min="3397" max="3397" width="12.88671875" style="262" customWidth="1"/>
    <col min="3398" max="3402" width="13.5546875" style="262" customWidth="1"/>
    <col min="3403" max="3403" width="3.33203125" style="262" customWidth="1"/>
    <col min="3404" max="3410" width="0" style="262" hidden="1" customWidth="1"/>
    <col min="3411" max="3584" width="9.109375" style="262"/>
    <col min="3585" max="3585" width="2.88671875" style="262" customWidth="1"/>
    <col min="3586" max="3586" width="3.33203125" style="262" customWidth="1"/>
    <col min="3587" max="3587" width="69.33203125" style="262" customWidth="1"/>
    <col min="3588" max="3588" width="6" style="262" customWidth="1"/>
    <col min="3589" max="3593" width="13.5546875" style="262" customWidth="1"/>
    <col min="3594" max="3648" width="0" style="262" hidden="1" customWidth="1"/>
    <col min="3649" max="3650" width="12.88671875" style="262" customWidth="1"/>
    <col min="3651" max="3651" width="12" style="262" customWidth="1"/>
    <col min="3652" max="3652" width="13.109375" style="262" customWidth="1"/>
    <col min="3653" max="3653" width="12.88671875" style="262" customWidth="1"/>
    <col min="3654" max="3658" width="13.5546875" style="262" customWidth="1"/>
    <col min="3659" max="3659" width="3.33203125" style="262" customWidth="1"/>
    <col min="3660" max="3666" width="0" style="262" hidden="1" customWidth="1"/>
    <col min="3667" max="3840" width="9.109375" style="262"/>
    <col min="3841" max="3841" width="2.88671875" style="262" customWidth="1"/>
    <col min="3842" max="3842" width="3.33203125" style="262" customWidth="1"/>
    <col min="3843" max="3843" width="69.33203125" style="262" customWidth="1"/>
    <col min="3844" max="3844" width="6" style="262" customWidth="1"/>
    <col min="3845" max="3849" width="13.5546875" style="262" customWidth="1"/>
    <col min="3850" max="3904" width="0" style="262" hidden="1" customWidth="1"/>
    <col min="3905" max="3906" width="12.88671875" style="262" customWidth="1"/>
    <col min="3907" max="3907" width="12" style="262" customWidth="1"/>
    <col min="3908" max="3908" width="13.109375" style="262" customWidth="1"/>
    <col min="3909" max="3909" width="12.88671875" style="262" customWidth="1"/>
    <col min="3910" max="3914" width="13.5546875" style="262" customWidth="1"/>
    <col min="3915" max="3915" width="3.33203125" style="262" customWidth="1"/>
    <col min="3916" max="3922" width="0" style="262" hidden="1" customWidth="1"/>
    <col min="3923" max="4096" width="9.109375" style="262"/>
    <col min="4097" max="4097" width="2.88671875" style="262" customWidth="1"/>
    <col min="4098" max="4098" width="3.33203125" style="262" customWidth="1"/>
    <col min="4099" max="4099" width="69.33203125" style="262" customWidth="1"/>
    <col min="4100" max="4100" width="6" style="262" customWidth="1"/>
    <col min="4101" max="4105" width="13.5546875" style="262" customWidth="1"/>
    <col min="4106" max="4160" width="0" style="262" hidden="1" customWidth="1"/>
    <col min="4161" max="4162" width="12.88671875" style="262" customWidth="1"/>
    <col min="4163" max="4163" width="12" style="262" customWidth="1"/>
    <col min="4164" max="4164" width="13.109375" style="262" customWidth="1"/>
    <col min="4165" max="4165" width="12.88671875" style="262" customWidth="1"/>
    <col min="4166" max="4170" width="13.5546875" style="262" customWidth="1"/>
    <col min="4171" max="4171" width="3.33203125" style="262" customWidth="1"/>
    <col min="4172" max="4178" width="0" style="262" hidden="1" customWidth="1"/>
    <col min="4179" max="4352" width="9.109375" style="262"/>
    <col min="4353" max="4353" width="2.88671875" style="262" customWidth="1"/>
    <col min="4354" max="4354" width="3.33203125" style="262" customWidth="1"/>
    <col min="4355" max="4355" width="69.33203125" style="262" customWidth="1"/>
    <col min="4356" max="4356" width="6" style="262" customWidth="1"/>
    <col min="4357" max="4361" width="13.5546875" style="262" customWidth="1"/>
    <col min="4362" max="4416" width="0" style="262" hidden="1" customWidth="1"/>
    <col min="4417" max="4418" width="12.88671875" style="262" customWidth="1"/>
    <col min="4419" max="4419" width="12" style="262" customWidth="1"/>
    <col min="4420" max="4420" width="13.109375" style="262" customWidth="1"/>
    <col min="4421" max="4421" width="12.88671875" style="262" customWidth="1"/>
    <col min="4422" max="4426" width="13.5546875" style="262" customWidth="1"/>
    <col min="4427" max="4427" width="3.33203125" style="262" customWidth="1"/>
    <col min="4428" max="4434" width="0" style="262" hidden="1" customWidth="1"/>
    <col min="4435" max="4608" width="9.109375" style="262"/>
    <col min="4609" max="4609" width="2.88671875" style="262" customWidth="1"/>
    <col min="4610" max="4610" width="3.33203125" style="262" customWidth="1"/>
    <col min="4611" max="4611" width="69.33203125" style="262" customWidth="1"/>
    <col min="4612" max="4612" width="6" style="262" customWidth="1"/>
    <col min="4613" max="4617" width="13.5546875" style="262" customWidth="1"/>
    <col min="4618" max="4672" width="0" style="262" hidden="1" customWidth="1"/>
    <col min="4673" max="4674" width="12.88671875" style="262" customWidth="1"/>
    <col min="4675" max="4675" width="12" style="262" customWidth="1"/>
    <col min="4676" max="4676" width="13.109375" style="262" customWidth="1"/>
    <col min="4677" max="4677" width="12.88671875" style="262" customWidth="1"/>
    <col min="4678" max="4682" width="13.5546875" style="262" customWidth="1"/>
    <col min="4683" max="4683" width="3.33203125" style="262" customWidth="1"/>
    <col min="4684" max="4690" width="0" style="262" hidden="1" customWidth="1"/>
    <col min="4691" max="4864" width="9.109375" style="262"/>
    <col min="4865" max="4865" width="2.88671875" style="262" customWidth="1"/>
    <col min="4866" max="4866" width="3.33203125" style="262" customWidth="1"/>
    <col min="4867" max="4867" width="69.33203125" style="262" customWidth="1"/>
    <col min="4868" max="4868" width="6" style="262" customWidth="1"/>
    <col min="4869" max="4873" width="13.5546875" style="262" customWidth="1"/>
    <col min="4874" max="4928" width="0" style="262" hidden="1" customWidth="1"/>
    <col min="4929" max="4930" width="12.88671875" style="262" customWidth="1"/>
    <col min="4931" max="4931" width="12" style="262" customWidth="1"/>
    <col min="4932" max="4932" width="13.109375" style="262" customWidth="1"/>
    <col min="4933" max="4933" width="12.88671875" style="262" customWidth="1"/>
    <col min="4934" max="4938" width="13.5546875" style="262" customWidth="1"/>
    <col min="4939" max="4939" width="3.33203125" style="262" customWidth="1"/>
    <col min="4940" max="4946" width="0" style="262" hidden="1" customWidth="1"/>
    <col min="4947" max="5120" width="9.109375" style="262"/>
    <col min="5121" max="5121" width="2.88671875" style="262" customWidth="1"/>
    <col min="5122" max="5122" width="3.33203125" style="262" customWidth="1"/>
    <col min="5123" max="5123" width="69.33203125" style="262" customWidth="1"/>
    <col min="5124" max="5124" width="6" style="262" customWidth="1"/>
    <col min="5125" max="5129" width="13.5546875" style="262" customWidth="1"/>
    <col min="5130" max="5184" width="0" style="262" hidden="1" customWidth="1"/>
    <col min="5185" max="5186" width="12.88671875" style="262" customWidth="1"/>
    <col min="5187" max="5187" width="12" style="262" customWidth="1"/>
    <col min="5188" max="5188" width="13.109375" style="262" customWidth="1"/>
    <col min="5189" max="5189" width="12.88671875" style="262" customWidth="1"/>
    <col min="5190" max="5194" width="13.5546875" style="262" customWidth="1"/>
    <col min="5195" max="5195" width="3.33203125" style="262" customWidth="1"/>
    <col min="5196" max="5202" width="0" style="262" hidden="1" customWidth="1"/>
    <col min="5203" max="5376" width="9.109375" style="262"/>
    <col min="5377" max="5377" width="2.88671875" style="262" customWidth="1"/>
    <col min="5378" max="5378" width="3.33203125" style="262" customWidth="1"/>
    <col min="5379" max="5379" width="69.33203125" style="262" customWidth="1"/>
    <col min="5380" max="5380" width="6" style="262" customWidth="1"/>
    <col min="5381" max="5385" width="13.5546875" style="262" customWidth="1"/>
    <col min="5386" max="5440" width="0" style="262" hidden="1" customWidth="1"/>
    <col min="5441" max="5442" width="12.88671875" style="262" customWidth="1"/>
    <col min="5443" max="5443" width="12" style="262" customWidth="1"/>
    <col min="5444" max="5444" width="13.109375" style="262" customWidth="1"/>
    <col min="5445" max="5445" width="12.88671875" style="262" customWidth="1"/>
    <col min="5446" max="5450" width="13.5546875" style="262" customWidth="1"/>
    <col min="5451" max="5451" width="3.33203125" style="262" customWidth="1"/>
    <col min="5452" max="5458" width="0" style="262" hidden="1" customWidth="1"/>
    <col min="5459" max="5632" width="9.109375" style="262"/>
    <col min="5633" max="5633" width="2.88671875" style="262" customWidth="1"/>
    <col min="5634" max="5634" width="3.33203125" style="262" customWidth="1"/>
    <col min="5635" max="5635" width="69.33203125" style="262" customWidth="1"/>
    <col min="5636" max="5636" width="6" style="262" customWidth="1"/>
    <col min="5637" max="5641" width="13.5546875" style="262" customWidth="1"/>
    <col min="5642" max="5696" width="0" style="262" hidden="1" customWidth="1"/>
    <col min="5697" max="5698" width="12.88671875" style="262" customWidth="1"/>
    <col min="5699" max="5699" width="12" style="262" customWidth="1"/>
    <col min="5700" max="5700" width="13.109375" style="262" customWidth="1"/>
    <col min="5701" max="5701" width="12.88671875" style="262" customWidth="1"/>
    <col min="5702" max="5706" width="13.5546875" style="262" customWidth="1"/>
    <col min="5707" max="5707" width="3.33203125" style="262" customWidth="1"/>
    <col min="5708" max="5714" width="0" style="262" hidden="1" customWidth="1"/>
    <col min="5715" max="5888" width="9.109375" style="262"/>
    <col min="5889" max="5889" width="2.88671875" style="262" customWidth="1"/>
    <col min="5890" max="5890" width="3.33203125" style="262" customWidth="1"/>
    <col min="5891" max="5891" width="69.33203125" style="262" customWidth="1"/>
    <col min="5892" max="5892" width="6" style="262" customWidth="1"/>
    <col min="5893" max="5897" width="13.5546875" style="262" customWidth="1"/>
    <col min="5898" max="5952" width="0" style="262" hidden="1" customWidth="1"/>
    <col min="5953" max="5954" width="12.88671875" style="262" customWidth="1"/>
    <col min="5955" max="5955" width="12" style="262" customWidth="1"/>
    <col min="5956" max="5956" width="13.109375" style="262" customWidth="1"/>
    <col min="5957" max="5957" width="12.88671875" style="262" customWidth="1"/>
    <col min="5958" max="5962" width="13.5546875" style="262" customWidth="1"/>
    <col min="5963" max="5963" width="3.33203125" style="262" customWidth="1"/>
    <col min="5964" max="5970" width="0" style="262" hidden="1" customWidth="1"/>
    <col min="5971" max="6144" width="9.109375" style="262"/>
    <col min="6145" max="6145" width="2.88671875" style="262" customWidth="1"/>
    <col min="6146" max="6146" width="3.33203125" style="262" customWidth="1"/>
    <col min="6147" max="6147" width="69.33203125" style="262" customWidth="1"/>
    <col min="6148" max="6148" width="6" style="262" customWidth="1"/>
    <col min="6149" max="6153" width="13.5546875" style="262" customWidth="1"/>
    <col min="6154" max="6208" width="0" style="262" hidden="1" customWidth="1"/>
    <col min="6209" max="6210" width="12.88671875" style="262" customWidth="1"/>
    <col min="6211" max="6211" width="12" style="262" customWidth="1"/>
    <col min="6212" max="6212" width="13.109375" style="262" customWidth="1"/>
    <col min="6213" max="6213" width="12.88671875" style="262" customWidth="1"/>
    <col min="6214" max="6218" width="13.5546875" style="262" customWidth="1"/>
    <col min="6219" max="6219" width="3.33203125" style="262" customWidth="1"/>
    <col min="6220" max="6226" width="0" style="262" hidden="1" customWidth="1"/>
    <col min="6227" max="6400" width="9.109375" style="262"/>
    <col min="6401" max="6401" width="2.88671875" style="262" customWidth="1"/>
    <col min="6402" max="6402" width="3.33203125" style="262" customWidth="1"/>
    <col min="6403" max="6403" width="69.33203125" style="262" customWidth="1"/>
    <col min="6404" max="6404" width="6" style="262" customWidth="1"/>
    <col min="6405" max="6409" width="13.5546875" style="262" customWidth="1"/>
    <col min="6410" max="6464" width="0" style="262" hidden="1" customWidth="1"/>
    <col min="6465" max="6466" width="12.88671875" style="262" customWidth="1"/>
    <col min="6467" max="6467" width="12" style="262" customWidth="1"/>
    <col min="6468" max="6468" width="13.109375" style="262" customWidth="1"/>
    <col min="6469" max="6469" width="12.88671875" style="262" customWidth="1"/>
    <col min="6470" max="6474" width="13.5546875" style="262" customWidth="1"/>
    <col min="6475" max="6475" width="3.33203125" style="262" customWidth="1"/>
    <col min="6476" max="6482" width="0" style="262" hidden="1" customWidth="1"/>
    <col min="6483" max="6656" width="9.109375" style="262"/>
    <col min="6657" max="6657" width="2.88671875" style="262" customWidth="1"/>
    <col min="6658" max="6658" width="3.33203125" style="262" customWidth="1"/>
    <col min="6659" max="6659" width="69.33203125" style="262" customWidth="1"/>
    <col min="6660" max="6660" width="6" style="262" customWidth="1"/>
    <col min="6661" max="6665" width="13.5546875" style="262" customWidth="1"/>
    <col min="6666" max="6720" width="0" style="262" hidden="1" customWidth="1"/>
    <col min="6721" max="6722" width="12.88671875" style="262" customWidth="1"/>
    <col min="6723" max="6723" width="12" style="262" customWidth="1"/>
    <col min="6724" max="6724" width="13.109375" style="262" customWidth="1"/>
    <col min="6725" max="6725" width="12.88671875" style="262" customWidth="1"/>
    <col min="6726" max="6730" width="13.5546875" style="262" customWidth="1"/>
    <col min="6731" max="6731" width="3.33203125" style="262" customWidth="1"/>
    <col min="6732" max="6738" width="0" style="262" hidden="1" customWidth="1"/>
    <col min="6739" max="6912" width="9.109375" style="262"/>
    <col min="6913" max="6913" width="2.88671875" style="262" customWidth="1"/>
    <col min="6914" max="6914" width="3.33203125" style="262" customWidth="1"/>
    <col min="6915" max="6915" width="69.33203125" style="262" customWidth="1"/>
    <col min="6916" max="6916" width="6" style="262" customWidth="1"/>
    <col min="6917" max="6921" width="13.5546875" style="262" customWidth="1"/>
    <col min="6922" max="6976" width="0" style="262" hidden="1" customWidth="1"/>
    <col min="6977" max="6978" width="12.88671875" style="262" customWidth="1"/>
    <col min="6979" max="6979" width="12" style="262" customWidth="1"/>
    <col min="6980" max="6980" width="13.109375" style="262" customWidth="1"/>
    <col min="6981" max="6981" width="12.88671875" style="262" customWidth="1"/>
    <col min="6982" max="6986" width="13.5546875" style="262" customWidth="1"/>
    <col min="6987" max="6987" width="3.33203125" style="262" customWidth="1"/>
    <col min="6988" max="6994" width="0" style="262" hidden="1" customWidth="1"/>
    <col min="6995" max="7168" width="9.109375" style="262"/>
    <col min="7169" max="7169" width="2.88671875" style="262" customWidth="1"/>
    <col min="7170" max="7170" width="3.33203125" style="262" customWidth="1"/>
    <col min="7171" max="7171" width="69.33203125" style="262" customWidth="1"/>
    <col min="7172" max="7172" width="6" style="262" customWidth="1"/>
    <col min="7173" max="7177" width="13.5546875" style="262" customWidth="1"/>
    <col min="7178" max="7232" width="0" style="262" hidden="1" customWidth="1"/>
    <col min="7233" max="7234" width="12.88671875" style="262" customWidth="1"/>
    <col min="7235" max="7235" width="12" style="262" customWidth="1"/>
    <col min="7236" max="7236" width="13.109375" style="262" customWidth="1"/>
    <col min="7237" max="7237" width="12.88671875" style="262" customWidth="1"/>
    <col min="7238" max="7242" width="13.5546875" style="262" customWidth="1"/>
    <col min="7243" max="7243" width="3.33203125" style="262" customWidth="1"/>
    <col min="7244" max="7250" width="0" style="262" hidden="1" customWidth="1"/>
    <col min="7251" max="7424" width="9.109375" style="262"/>
    <col min="7425" max="7425" width="2.88671875" style="262" customWidth="1"/>
    <col min="7426" max="7426" width="3.33203125" style="262" customWidth="1"/>
    <col min="7427" max="7427" width="69.33203125" style="262" customWidth="1"/>
    <col min="7428" max="7428" width="6" style="262" customWidth="1"/>
    <col min="7429" max="7433" width="13.5546875" style="262" customWidth="1"/>
    <col min="7434" max="7488" width="0" style="262" hidden="1" customWidth="1"/>
    <col min="7489" max="7490" width="12.88671875" style="262" customWidth="1"/>
    <col min="7491" max="7491" width="12" style="262" customWidth="1"/>
    <col min="7492" max="7492" width="13.109375" style="262" customWidth="1"/>
    <col min="7493" max="7493" width="12.88671875" style="262" customWidth="1"/>
    <col min="7494" max="7498" width="13.5546875" style="262" customWidth="1"/>
    <col min="7499" max="7499" width="3.33203125" style="262" customWidth="1"/>
    <col min="7500" max="7506" width="0" style="262" hidden="1" customWidth="1"/>
    <col min="7507" max="7680" width="9.109375" style="262"/>
    <col min="7681" max="7681" width="2.88671875" style="262" customWidth="1"/>
    <col min="7682" max="7682" width="3.33203125" style="262" customWidth="1"/>
    <col min="7683" max="7683" width="69.33203125" style="262" customWidth="1"/>
    <col min="7684" max="7684" width="6" style="262" customWidth="1"/>
    <col min="7685" max="7689" width="13.5546875" style="262" customWidth="1"/>
    <col min="7690" max="7744" width="0" style="262" hidden="1" customWidth="1"/>
    <col min="7745" max="7746" width="12.88671875" style="262" customWidth="1"/>
    <col min="7747" max="7747" width="12" style="262" customWidth="1"/>
    <col min="7748" max="7748" width="13.109375" style="262" customWidth="1"/>
    <col min="7749" max="7749" width="12.88671875" style="262" customWidth="1"/>
    <col min="7750" max="7754" width="13.5546875" style="262" customWidth="1"/>
    <col min="7755" max="7755" width="3.33203125" style="262" customWidth="1"/>
    <col min="7756" max="7762" width="0" style="262" hidden="1" customWidth="1"/>
    <col min="7763" max="7936" width="9.109375" style="262"/>
    <col min="7937" max="7937" width="2.88671875" style="262" customWidth="1"/>
    <col min="7938" max="7938" width="3.33203125" style="262" customWidth="1"/>
    <col min="7939" max="7939" width="69.33203125" style="262" customWidth="1"/>
    <col min="7940" max="7940" width="6" style="262" customWidth="1"/>
    <col min="7941" max="7945" width="13.5546875" style="262" customWidth="1"/>
    <col min="7946" max="8000" width="0" style="262" hidden="1" customWidth="1"/>
    <col min="8001" max="8002" width="12.88671875" style="262" customWidth="1"/>
    <col min="8003" max="8003" width="12" style="262" customWidth="1"/>
    <col min="8004" max="8004" width="13.109375" style="262" customWidth="1"/>
    <col min="8005" max="8005" width="12.88671875" style="262" customWidth="1"/>
    <col min="8006" max="8010" width="13.5546875" style="262" customWidth="1"/>
    <col min="8011" max="8011" width="3.33203125" style="262" customWidth="1"/>
    <col min="8012" max="8018" width="0" style="262" hidden="1" customWidth="1"/>
    <col min="8019" max="8192" width="9.109375" style="262"/>
    <col min="8193" max="8193" width="2.88671875" style="262" customWidth="1"/>
    <col min="8194" max="8194" width="3.33203125" style="262" customWidth="1"/>
    <col min="8195" max="8195" width="69.33203125" style="262" customWidth="1"/>
    <col min="8196" max="8196" width="6" style="262" customWidth="1"/>
    <col min="8197" max="8201" width="13.5546875" style="262" customWidth="1"/>
    <col min="8202" max="8256" width="0" style="262" hidden="1" customWidth="1"/>
    <col min="8257" max="8258" width="12.88671875" style="262" customWidth="1"/>
    <col min="8259" max="8259" width="12" style="262" customWidth="1"/>
    <col min="8260" max="8260" width="13.109375" style="262" customWidth="1"/>
    <col min="8261" max="8261" width="12.88671875" style="262" customWidth="1"/>
    <col min="8262" max="8266" width="13.5546875" style="262" customWidth="1"/>
    <col min="8267" max="8267" width="3.33203125" style="262" customWidth="1"/>
    <col min="8268" max="8274" width="0" style="262" hidden="1" customWidth="1"/>
    <col min="8275" max="8448" width="9.109375" style="262"/>
    <col min="8449" max="8449" width="2.88671875" style="262" customWidth="1"/>
    <col min="8450" max="8450" width="3.33203125" style="262" customWidth="1"/>
    <col min="8451" max="8451" width="69.33203125" style="262" customWidth="1"/>
    <col min="8452" max="8452" width="6" style="262" customWidth="1"/>
    <col min="8453" max="8457" width="13.5546875" style="262" customWidth="1"/>
    <col min="8458" max="8512" width="0" style="262" hidden="1" customWidth="1"/>
    <col min="8513" max="8514" width="12.88671875" style="262" customWidth="1"/>
    <col min="8515" max="8515" width="12" style="262" customWidth="1"/>
    <col min="8516" max="8516" width="13.109375" style="262" customWidth="1"/>
    <col min="8517" max="8517" width="12.88671875" style="262" customWidth="1"/>
    <col min="8518" max="8522" width="13.5546875" style="262" customWidth="1"/>
    <col min="8523" max="8523" width="3.33203125" style="262" customWidth="1"/>
    <col min="8524" max="8530" width="0" style="262" hidden="1" customWidth="1"/>
    <col min="8531" max="8704" width="9.109375" style="262"/>
    <col min="8705" max="8705" width="2.88671875" style="262" customWidth="1"/>
    <col min="8706" max="8706" width="3.33203125" style="262" customWidth="1"/>
    <col min="8707" max="8707" width="69.33203125" style="262" customWidth="1"/>
    <col min="8708" max="8708" width="6" style="262" customWidth="1"/>
    <col min="8709" max="8713" width="13.5546875" style="262" customWidth="1"/>
    <col min="8714" max="8768" width="0" style="262" hidden="1" customWidth="1"/>
    <col min="8769" max="8770" width="12.88671875" style="262" customWidth="1"/>
    <col min="8771" max="8771" width="12" style="262" customWidth="1"/>
    <col min="8772" max="8772" width="13.109375" style="262" customWidth="1"/>
    <col min="8773" max="8773" width="12.88671875" style="262" customWidth="1"/>
    <col min="8774" max="8778" width="13.5546875" style="262" customWidth="1"/>
    <col min="8779" max="8779" width="3.33203125" style="262" customWidth="1"/>
    <col min="8780" max="8786" width="0" style="262" hidden="1" customWidth="1"/>
    <col min="8787" max="8960" width="9.109375" style="262"/>
    <col min="8961" max="8961" width="2.88671875" style="262" customWidth="1"/>
    <col min="8962" max="8962" width="3.33203125" style="262" customWidth="1"/>
    <col min="8963" max="8963" width="69.33203125" style="262" customWidth="1"/>
    <col min="8964" max="8964" width="6" style="262" customWidth="1"/>
    <col min="8965" max="8969" width="13.5546875" style="262" customWidth="1"/>
    <col min="8970" max="9024" width="0" style="262" hidden="1" customWidth="1"/>
    <col min="9025" max="9026" width="12.88671875" style="262" customWidth="1"/>
    <col min="9027" max="9027" width="12" style="262" customWidth="1"/>
    <col min="9028" max="9028" width="13.109375" style="262" customWidth="1"/>
    <col min="9029" max="9029" width="12.88671875" style="262" customWidth="1"/>
    <col min="9030" max="9034" width="13.5546875" style="262" customWidth="1"/>
    <col min="9035" max="9035" width="3.33203125" style="262" customWidth="1"/>
    <col min="9036" max="9042" width="0" style="262" hidden="1" customWidth="1"/>
    <col min="9043" max="9216" width="9.109375" style="262"/>
    <col min="9217" max="9217" width="2.88671875" style="262" customWidth="1"/>
    <col min="9218" max="9218" width="3.33203125" style="262" customWidth="1"/>
    <col min="9219" max="9219" width="69.33203125" style="262" customWidth="1"/>
    <col min="9220" max="9220" width="6" style="262" customWidth="1"/>
    <col min="9221" max="9225" width="13.5546875" style="262" customWidth="1"/>
    <col min="9226" max="9280" width="0" style="262" hidden="1" customWidth="1"/>
    <col min="9281" max="9282" width="12.88671875" style="262" customWidth="1"/>
    <col min="9283" max="9283" width="12" style="262" customWidth="1"/>
    <col min="9284" max="9284" width="13.109375" style="262" customWidth="1"/>
    <col min="9285" max="9285" width="12.88671875" style="262" customWidth="1"/>
    <col min="9286" max="9290" width="13.5546875" style="262" customWidth="1"/>
    <col min="9291" max="9291" width="3.33203125" style="262" customWidth="1"/>
    <col min="9292" max="9298" width="0" style="262" hidden="1" customWidth="1"/>
    <col min="9299" max="9472" width="9.109375" style="262"/>
    <col min="9473" max="9473" width="2.88671875" style="262" customWidth="1"/>
    <col min="9474" max="9474" width="3.33203125" style="262" customWidth="1"/>
    <col min="9475" max="9475" width="69.33203125" style="262" customWidth="1"/>
    <col min="9476" max="9476" width="6" style="262" customWidth="1"/>
    <col min="9477" max="9481" width="13.5546875" style="262" customWidth="1"/>
    <col min="9482" max="9536" width="0" style="262" hidden="1" customWidth="1"/>
    <col min="9537" max="9538" width="12.88671875" style="262" customWidth="1"/>
    <col min="9539" max="9539" width="12" style="262" customWidth="1"/>
    <col min="9540" max="9540" width="13.109375" style="262" customWidth="1"/>
    <col min="9541" max="9541" width="12.88671875" style="262" customWidth="1"/>
    <col min="9542" max="9546" width="13.5546875" style="262" customWidth="1"/>
    <col min="9547" max="9547" width="3.33203125" style="262" customWidth="1"/>
    <col min="9548" max="9554" width="0" style="262" hidden="1" customWidth="1"/>
    <col min="9555" max="9728" width="9.109375" style="262"/>
    <col min="9729" max="9729" width="2.88671875" style="262" customWidth="1"/>
    <col min="9730" max="9730" width="3.33203125" style="262" customWidth="1"/>
    <col min="9731" max="9731" width="69.33203125" style="262" customWidth="1"/>
    <col min="9732" max="9732" width="6" style="262" customWidth="1"/>
    <col min="9733" max="9737" width="13.5546875" style="262" customWidth="1"/>
    <col min="9738" max="9792" width="0" style="262" hidden="1" customWidth="1"/>
    <col min="9793" max="9794" width="12.88671875" style="262" customWidth="1"/>
    <col min="9795" max="9795" width="12" style="262" customWidth="1"/>
    <col min="9796" max="9796" width="13.109375" style="262" customWidth="1"/>
    <col min="9797" max="9797" width="12.88671875" style="262" customWidth="1"/>
    <col min="9798" max="9802" width="13.5546875" style="262" customWidth="1"/>
    <col min="9803" max="9803" width="3.33203125" style="262" customWidth="1"/>
    <col min="9804" max="9810" width="0" style="262" hidden="1" customWidth="1"/>
    <col min="9811" max="9984" width="9.109375" style="262"/>
    <col min="9985" max="9985" width="2.88671875" style="262" customWidth="1"/>
    <col min="9986" max="9986" width="3.33203125" style="262" customWidth="1"/>
    <col min="9987" max="9987" width="69.33203125" style="262" customWidth="1"/>
    <col min="9988" max="9988" width="6" style="262" customWidth="1"/>
    <col min="9989" max="9993" width="13.5546875" style="262" customWidth="1"/>
    <col min="9994" max="10048" width="0" style="262" hidden="1" customWidth="1"/>
    <col min="10049" max="10050" width="12.88671875" style="262" customWidth="1"/>
    <col min="10051" max="10051" width="12" style="262" customWidth="1"/>
    <col min="10052" max="10052" width="13.109375" style="262" customWidth="1"/>
    <col min="10053" max="10053" width="12.88671875" style="262" customWidth="1"/>
    <col min="10054" max="10058" width="13.5546875" style="262" customWidth="1"/>
    <col min="10059" max="10059" width="3.33203125" style="262" customWidth="1"/>
    <col min="10060" max="10066" width="0" style="262" hidden="1" customWidth="1"/>
    <col min="10067" max="10240" width="9.109375" style="262"/>
    <col min="10241" max="10241" width="2.88671875" style="262" customWidth="1"/>
    <col min="10242" max="10242" width="3.33203125" style="262" customWidth="1"/>
    <col min="10243" max="10243" width="69.33203125" style="262" customWidth="1"/>
    <col min="10244" max="10244" width="6" style="262" customWidth="1"/>
    <col min="10245" max="10249" width="13.5546875" style="262" customWidth="1"/>
    <col min="10250" max="10304" width="0" style="262" hidden="1" customWidth="1"/>
    <col min="10305" max="10306" width="12.88671875" style="262" customWidth="1"/>
    <col min="10307" max="10307" width="12" style="262" customWidth="1"/>
    <col min="10308" max="10308" width="13.109375" style="262" customWidth="1"/>
    <col min="10309" max="10309" width="12.88671875" style="262" customWidth="1"/>
    <col min="10310" max="10314" width="13.5546875" style="262" customWidth="1"/>
    <col min="10315" max="10315" width="3.33203125" style="262" customWidth="1"/>
    <col min="10316" max="10322" width="0" style="262" hidden="1" customWidth="1"/>
    <col min="10323" max="10496" width="9.109375" style="262"/>
    <col min="10497" max="10497" width="2.88671875" style="262" customWidth="1"/>
    <col min="10498" max="10498" width="3.33203125" style="262" customWidth="1"/>
    <col min="10499" max="10499" width="69.33203125" style="262" customWidth="1"/>
    <col min="10500" max="10500" width="6" style="262" customWidth="1"/>
    <col min="10501" max="10505" width="13.5546875" style="262" customWidth="1"/>
    <col min="10506" max="10560" width="0" style="262" hidden="1" customWidth="1"/>
    <col min="10561" max="10562" width="12.88671875" style="262" customWidth="1"/>
    <col min="10563" max="10563" width="12" style="262" customWidth="1"/>
    <col min="10564" max="10564" width="13.109375" style="262" customWidth="1"/>
    <col min="10565" max="10565" width="12.88671875" style="262" customWidth="1"/>
    <col min="10566" max="10570" width="13.5546875" style="262" customWidth="1"/>
    <col min="10571" max="10571" width="3.33203125" style="262" customWidth="1"/>
    <col min="10572" max="10578" width="0" style="262" hidden="1" customWidth="1"/>
    <col min="10579" max="10752" width="9.109375" style="262"/>
    <col min="10753" max="10753" width="2.88671875" style="262" customWidth="1"/>
    <col min="10754" max="10754" width="3.33203125" style="262" customWidth="1"/>
    <col min="10755" max="10755" width="69.33203125" style="262" customWidth="1"/>
    <col min="10756" max="10756" width="6" style="262" customWidth="1"/>
    <col min="10757" max="10761" width="13.5546875" style="262" customWidth="1"/>
    <col min="10762" max="10816" width="0" style="262" hidden="1" customWidth="1"/>
    <col min="10817" max="10818" width="12.88671875" style="262" customWidth="1"/>
    <col min="10819" max="10819" width="12" style="262" customWidth="1"/>
    <col min="10820" max="10820" width="13.109375" style="262" customWidth="1"/>
    <col min="10821" max="10821" width="12.88671875" style="262" customWidth="1"/>
    <col min="10822" max="10826" width="13.5546875" style="262" customWidth="1"/>
    <col min="10827" max="10827" width="3.33203125" style="262" customWidth="1"/>
    <col min="10828" max="10834" width="0" style="262" hidden="1" customWidth="1"/>
    <col min="10835" max="11008" width="9.109375" style="262"/>
    <col min="11009" max="11009" width="2.88671875" style="262" customWidth="1"/>
    <col min="11010" max="11010" width="3.33203125" style="262" customWidth="1"/>
    <col min="11011" max="11011" width="69.33203125" style="262" customWidth="1"/>
    <col min="11012" max="11012" width="6" style="262" customWidth="1"/>
    <col min="11013" max="11017" width="13.5546875" style="262" customWidth="1"/>
    <col min="11018" max="11072" width="0" style="262" hidden="1" customWidth="1"/>
    <col min="11073" max="11074" width="12.88671875" style="262" customWidth="1"/>
    <col min="11075" max="11075" width="12" style="262" customWidth="1"/>
    <col min="11076" max="11076" width="13.109375" style="262" customWidth="1"/>
    <col min="11077" max="11077" width="12.88671875" style="262" customWidth="1"/>
    <col min="11078" max="11082" width="13.5546875" style="262" customWidth="1"/>
    <col min="11083" max="11083" width="3.33203125" style="262" customWidth="1"/>
    <col min="11084" max="11090" width="0" style="262" hidden="1" customWidth="1"/>
    <col min="11091" max="11264" width="9.109375" style="262"/>
    <col min="11265" max="11265" width="2.88671875" style="262" customWidth="1"/>
    <col min="11266" max="11266" width="3.33203125" style="262" customWidth="1"/>
    <col min="11267" max="11267" width="69.33203125" style="262" customWidth="1"/>
    <col min="11268" max="11268" width="6" style="262" customWidth="1"/>
    <col min="11269" max="11273" width="13.5546875" style="262" customWidth="1"/>
    <col min="11274" max="11328" width="0" style="262" hidden="1" customWidth="1"/>
    <col min="11329" max="11330" width="12.88671875" style="262" customWidth="1"/>
    <col min="11331" max="11331" width="12" style="262" customWidth="1"/>
    <col min="11332" max="11332" width="13.109375" style="262" customWidth="1"/>
    <col min="11333" max="11333" width="12.88671875" style="262" customWidth="1"/>
    <col min="11334" max="11338" width="13.5546875" style="262" customWidth="1"/>
    <col min="11339" max="11339" width="3.33203125" style="262" customWidth="1"/>
    <col min="11340" max="11346" width="0" style="262" hidden="1" customWidth="1"/>
    <col min="11347" max="11520" width="9.109375" style="262"/>
    <col min="11521" max="11521" width="2.88671875" style="262" customWidth="1"/>
    <col min="11522" max="11522" width="3.33203125" style="262" customWidth="1"/>
    <col min="11523" max="11523" width="69.33203125" style="262" customWidth="1"/>
    <col min="11524" max="11524" width="6" style="262" customWidth="1"/>
    <col min="11525" max="11529" width="13.5546875" style="262" customWidth="1"/>
    <col min="11530" max="11584" width="0" style="262" hidden="1" customWidth="1"/>
    <col min="11585" max="11586" width="12.88671875" style="262" customWidth="1"/>
    <col min="11587" max="11587" width="12" style="262" customWidth="1"/>
    <col min="11588" max="11588" width="13.109375" style="262" customWidth="1"/>
    <col min="11589" max="11589" width="12.88671875" style="262" customWidth="1"/>
    <col min="11590" max="11594" width="13.5546875" style="262" customWidth="1"/>
    <col min="11595" max="11595" width="3.33203125" style="262" customWidth="1"/>
    <col min="11596" max="11602" width="0" style="262" hidden="1" customWidth="1"/>
    <col min="11603" max="11776" width="9.109375" style="262"/>
    <col min="11777" max="11777" width="2.88671875" style="262" customWidth="1"/>
    <col min="11778" max="11778" width="3.33203125" style="262" customWidth="1"/>
    <col min="11779" max="11779" width="69.33203125" style="262" customWidth="1"/>
    <col min="11780" max="11780" width="6" style="262" customWidth="1"/>
    <col min="11781" max="11785" width="13.5546875" style="262" customWidth="1"/>
    <col min="11786" max="11840" width="0" style="262" hidden="1" customWidth="1"/>
    <col min="11841" max="11842" width="12.88671875" style="262" customWidth="1"/>
    <col min="11843" max="11843" width="12" style="262" customWidth="1"/>
    <col min="11844" max="11844" width="13.109375" style="262" customWidth="1"/>
    <col min="11845" max="11845" width="12.88671875" style="262" customWidth="1"/>
    <col min="11846" max="11850" width="13.5546875" style="262" customWidth="1"/>
    <col min="11851" max="11851" width="3.33203125" style="262" customWidth="1"/>
    <col min="11852" max="11858" width="0" style="262" hidden="1" customWidth="1"/>
    <col min="11859" max="12032" width="9.109375" style="262"/>
    <col min="12033" max="12033" width="2.88671875" style="262" customWidth="1"/>
    <col min="12034" max="12034" width="3.33203125" style="262" customWidth="1"/>
    <col min="12035" max="12035" width="69.33203125" style="262" customWidth="1"/>
    <col min="12036" max="12036" width="6" style="262" customWidth="1"/>
    <col min="12037" max="12041" width="13.5546875" style="262" customWidth="1"/>
    <col min="12042" max="12096" width="0" style="262" hidden="1" customWidth="1"/>
    <col min="12097" max="12098" width="12.88671875" style="262" customWidth="1"/>
    <col min="12099" max="12099" width="12" style="262" customWidth="1"/>
    <col min="12100" max="12100" width="13.109375" style="262" customWidth="1"/>
    <col min="12101" max="12101" width="12.88671875" style="262" customWidth="1"/>
    <col min="12102" max="12106" width="13.5546875" style="262" customWidth="1"/>
    <col min="12107" max="12107" width="3.33203125" style="262" customWidth="1"/>
    <col min="12108" max="12114" width="0" style="262" hidden="1" customWidth="1"/>
    <col min="12115" max="12288" width="9.109375" style="262"/>
    <col min="12289" max="12289" width="2.88671875" style="262" customWidth="1"/>
    <col min="12290" max="12290" width="3.33203125" style="262" customWidth="1"/>
    <col min="12291" max="12291" width="69.33203125" style="262" customWidth="1"/>
    <col min="12292" max="12292" width="6" style="262" customWidth="1"/>
    <col min="12293" max="12297" width="13.5546875" style="262" customWidth="1"/>
    <col min="12298" max="12352" width="0" style="262" hidden="1" customWidth="1"/>
    <col min="12353" max="12354" width="12.88671875" style="262" customWidth="1"/>
    <col min="12355" max="12355" width="12" style="262" customWidth="1"/>
    <col min="12356" max="12356" width="13.109375" style="262" customWidth="1"/>
    <col min="12357" max="12357" width="12.88671875" style="262" customWidth="1"/>
    <col min="12358" max="12362" width="13.5546875" style="262" customWidth="1"/>
    <col min="12363" max="12363" width="3.33203125" style="262" customWidth="1"/>
    <col min="12364" max="12370" width="0" style="262" hidden="1" customWidth="1"/>
    <col min="12371" max="12544" width="9.109375" style="262"/>
    <col min="12545" max="12545" width="2.88671875" style="262" customWidth="1"/>
    <col min="12546" max="12546" width="3.33203125" style="262" customWidth="1"/>
    <col min="12547" max="12547" width="69.33203125" style="262" customWidth="1"/>
    <col min="12548" max="12548" width="6" style="262" customWidth="1"/>
    <col min="12549" max="12553" width="13.5546875" style="262" customWidth="1"/>
    <col min="12554" max="12608" width="0" style="262" hidden="1" customWidth="1"/>
    <col min="12609" max="12610" width="12.88671875" style="262" customWidth="1"/>
    <col min="12611" max="12611" width="12" style="262" customWidth="1"/>
    <col min="12612" max="12612" width="13.109375" style="262" customWidth="1"/>
    <col min="12613" max="12613" width="12.88671875" style="262" customWidth="1"/>
    <col min="12614" max="12618" width="13.5546875" style="262" customWidth="1"/>
    <col min="12619" max="12619" width="3.33203125" style="262" customWidth="1"/>
    <col min="12620" max="12626" width="0" style="262" hidden="1" customWidth="1"/>
    <col min="12627" max="12800" width="9.109375" style="262"/>
    <col min="12801" max="12801" width="2.88671875" style="262" customWidth="1"/>
    <col min="12802" max="12802" width="3.33203125" style="262" customWidth="1"/>
    <col min="12803" max="12803" width="69.33203125" style="262" customWidth="1"/>
    <col min="12804" max="12804" width="6" style="262" customWidth="1"/>
    <col min="12805" max="12809" width="13.5546875" style="262" customWidth="1"/>
    <col min="12810" max="12864" width="0" style="262" hidden="1" customWidth="1"/>
    <col min="12865" max="12866" width="12.88671875" style="262" customWidth="1"/>
    <col min="12867" max="12867" width="12" style="262" customWidth="1"/>
    <col min="12868" max="12868" width="13.109375" style="262" customWidth="1"/>
    <col min="12869" max="12869" width="12.88671875" style="262" customWidth="1"/>
    <col min="12870" max="12874" width="13.5546875" style="262" customWidth="1"/>
    <col min="12875" max="12875" width="3.33203125" style="262" customWidth="1"/>
    <col min="12876" max="12882" width="0" style="262" hidden="1" customWidth="1"/>
    <col min="12883" max="13056" width="9.109375" style="262"/>
    <col min="13057" max="13057" width="2.88671875" style="262" customWidth="1"/>
    <col min="13058" max="13058" width="3.33203125" style="262" customWidth="1"/>
    <col min="13059" max="13059" width="69.33203125" style="262" customWidth="1"/>
    <col min="13060" max="13060" width="6" style="262" customWidth="1"/>
    <col min="13061" max="13065" width="13.5546875" style="262" customWidth="1"/>
    <col min="13066" max="13120" width="0" style="262" hidden="1" customWidth="1"/>
    <col min="13121" max="13122" width="12.88671875" style="262" customWidth="1"/>
    <col min="13123" max="13123" width="12" style="262" customWidth="1"/>
    <col min="13124" max="13124" width="13.109375" style="262" customWidth="1"/>
    <col min="13125" max="13125" width="12.88671875" style="262" customWidth="1"/>
    <col min="13126" max="13130" width="13.5546875" style="262" customWidth="1"/>
    <col min="13131" max="13131" width="3.33203125" style="262" customWidth="1"/>
    <col min="13132" max="13138" width="0" style="262" hidden="1" customWidth="1"/>
    <col min="13139" max="13312" width="9.109375" style="262"/>
    <col min="13313" max="13313" width="2.88671875" style="262" customWidth="1"/>
    <col min="13314" max="13314" width="3.33203125" style="262" customWidth="1"/>
    <col min="13315" max="13315" width="69.33203125" style="262" customWidth="1"/>
    <col min="13316" max="13316" width="6" style="262" customWidth="1"/>
    <col min="13317" max="13321" width="13.5546875" style="262" customWidth="1"/>
    <col min="13322" max="13376" width="0" style="262" hidden="1" customWidth="1"/>
    <col min="13377" max="13378" width="12.88671875" style="262" customWidth="1"/>
    <col min="13379" max="13379" width="12" style="262" customWidth="1"/>
    <col min="13380" max="13380" width="13.109375" style="262" customWidth="1"/>
    <col min="13381" max="13381" width="12.88671875" style="262" customWidth="1"/>
    <col min="13382" max="13386" width="13.5546875" style="262" customWidth="1"/>
    <col min="13387" max="13387" width="3.33203125" style="262" customWidth="1"/>
    <col min="13388" max="13394" width="0" style="262" hidden="1" customWidth="1"/>
    <col min="13395" max="13568" width="9.109375" style="262"/>
    <col min="13569" max="13569" width="2.88671875" style="262" customWidth="1"/>
    <col min="13570" max="13570" width="3.33203125" style="262" customWidth="1"/>
    <col min="13571" max="13571" width="69.33203125" style="262" customWidth="1"/>
    <col min="13572" max="13572" width="6" style="262" customWidth="1"/>
    <col min="13573" max="13577" width="13.5546875" style="262" customWidth="1"/>
    <col min="13578" max="13632" width="0" style="262" hidden="1" customWidth="1"/>
    <col min="13633" max="13634" width="12.88671875" style="262" customWidth="1"/>
    <col min="13635" max="13635" width="12" style="262" customWidth="1"/>
    <col min="13636" max="13636" width="13.109375" style="262" customWidth="1"/>
    <col min="13637" max="13637" width="12.88671875" style="262" customWidth="1"/>
    <col min="13638" max="13642" width="13.5546875" style="262" customWidth="1"/>
    <col min="13643" max="13643" width="3.33203125" style="262" customWidth="1"/>
    <col min="13644" max="13650" width="0" style="262" hidden="1" customWidth="1"/>
    <col min="13651" max="13824" width="9.109375" style="262"/>
    <col min="13825" max="13825" width="2.88671875" style="262" customWidth="1"/>
    <col min="13826" max="13826" width="3.33203125" style="262" customWidth="1"/>
    <col min="13827" max="13827" width="69.33203125" style="262" customWidth="1"/>
    <col min="13828" max="13828" width="6" style="262" customWidth="1"/>
    <col min="13829" max="13833" width="13.5546875" style="262" customWidth="1"/>
    <col min="13834" max="13888" width="0" style="262" hidden="1" customWidth="1"/>
    <col min="13889" max="13890" width="12.88671875" style="262" customWidth="1"/>
    <col min="13891" max="13891" width="12" style="262" customWidth="1"/>
    <col min="13892" max="13892" width="13.109375" style="262" customWidth="1"/>
    <col min="13893" max="13893" width="12.88671875" style="262" customWidth="1"/>
    <col min="13894" max="13898" width="13.5546875" style="262" customWidth="1"/>
    <col min="13899" max="13899" width="3.33203125" style="262" customWidth="1"/>
    <col min="13900" max="13906" width="0" style="262" hidden="1" customWidth="1"/>
    <col min="13907" max="14080" width="9.109375" style="262"/>
    <col min="14081" max="14081" width="2.88671875" style="262" customWidth="1"/>
    <col min="14082" max="14082" width="3.33203125" style="262" customWidth="1"/>
    <col min="14083" max="14083" width="69.33203125" style="262" customWidth="1"/>
    <col min="14084" max="14084" width="6" style="262" customWidth="1"/>
    <col min="14085" max="14089" width="13.5546875" style="262" customWidth="1"/>
    <col min="14090" max="14144" width="0" style="262" hidden="1" customWidth="1"/>
    <col min="14145" max="14146" width="12.88671875" style="262" customWidth="1"/>
    <col min="14147" max="14147" width="12" style="262" customWidth="1"/>
    <col min="14148" max="14148" width="13.109375" style="262" customWidth="1"/>
    <col min="14149" max="14149" width="12.88671875" style="262" customWidth="1"/>
    <col min="14150" max="14154" width="13.5546875" style="262" customWidth="1"/>
    <col min="14155" max="14155" width="3.33203125" style="262" customWidth="1"/>
    <col min="14156" max="14162" width="0" style="262" hidden="1" customWidth="1"/>
    <col min="14163" max="14336" width="9.109375" style="262"/>
    <col min="14337" max="14337" width="2.88671875" style="262" customWidth="1"/>
    <col min="14338" max="14338" width="3.33203125" style="262" customWidth="1"/>
    <col min="14339" max="14339" width="69.33203125" style="262" customWidth="1"/>
    <col min="14340" max="14340" width="6" style="262" customWidth="1"/>
    <col min="14341" max="14345" width="13.5546875" style="262" customWidth="1"/>
    <col min="14346" max="14400" width="0" style="262" hidden="1" customWidth="1"/>
    <col min="14401" max="14402" width="12.88671875" style="262" customWidth="1"/>
    <col min="14403" max="14403" width="12" style="262" customWidth="1"/>
    <col min="14404" max="14404" width="13.109375" style="262" customWidth="1"/>
    <col min="14405" max="14405" width="12.88671875" style="262" customWidth="1"/>
    <col min="14406" max="14410" width="13.5546875" style="262" customWidth="1"/>
    <col min="14411" max="14411" width="3.33203125" style="262" customWidth="1"/>
    <col min="14412" max="14418" width="0" style="262" hidden="1" customWidth="1"/>
    <col min="14419" max="14592" width="9.109375" style="262"/>
    <col min="14593" max="14593" width="2.88671875" style="262" customWidth="1"/>
    <col min="14594" max="14594" width="3.33203125" style="262" customWidth="1"/>
    <col min="14595" max="14595" width="69.33203125" style="262" customWidth="1"/>
    <col min="14596" max="14596" width="6" style="262" customWidth="1"/>
    <col min="14597" max="14601" width="13.5546875" style="262" customWidth="1"/>
    <col min="14602" max="14656" width="0" style="262" hidden="1" customWidth="1"/>
    <col min="14657" max="14658" width="12.88671875" style="262" customWidth="1"/>
    <col min="14659" max="14659" width="12" style="262" customWidth="1"/>
    <col min="14660" max="14660" width="13.109375" style="262" customWidth="1"/>
    <col min="14661" max="14661" width="12.88671875" style="262" customWidth="1"/>
    <col min="14662" max="14666" width="13.5546875" style="262" customWidth="1"/>
    <col min="14667" max="14667" width="3.33203125" style="262" customWidth="1"/>
    <col min="14668" max="14674" width="0" style="262" hidden="1" customWidth="1"/>
    <col min="14675" max="14848" width="9.109375" style="262"/>
    <col min="14849" max="14849" width="2.88671875" style="262" customWidth="1"/>
    <col min="14850" max="14850" width="3.33203125" style="262" customWidth="1"/>
    <col min="14851" max="14851" width="69.33203125" style="262" customWidth="1"/>
    <col min="14852" max="14852" width="6" style="262" customWidth="1"/>
    <col min="14853" max="14857" width="13.5546875" style="262" customWidth="1"/>
    <col min="14858" max="14912" width="0" style="262" hidden="1" customWidth="1"/>
    <col min="14913" max="14914" width="12.88671875" style="262" customWidth="1"/>
    <col min="14915" max="14915" width="12" style="262" customWidth="1"/>
    <col min="14916" max="14916" width="13.109375" style="262" customWidth="1"/>
    <col min="14917" max="14917" width="12.88671875" style="262" customWidth="1"/>
    <col min="14918" max="14922" width="13.5546875" style="262" customWidth="1"/>
    <col min="14923" max="14923" width="3.33203125" style="262" customWidth="1"/>
    <col min="14924" max="14930" width="0" style="262" hidden="1" customWidth="1"/>
    <col min="14931" max="15104" width="9.109375" style="262"/>
    <col min="15105" max="15105" width="2.88671875" style="262" customWidth="1"/>
    <col min="15106" max="15106" width="3.33203125" style="262" customWidth="1"/>
    <col min="15107" max="15107" width="69.33203125" style="262" customWidth="1"/>
    <col min="15108" max="15108" width="6" style="262" customWidth="1"/>
    <col min="15109" max="15113" width="13.5546875" style="262" customWidth="1"/>
    <col min="15114" max="15168" width="0" style="262" hidden="1" customWidth="1"/>
    <col min="15169" max="15170" width="12.88671875" style="262" customWidth="1"/>
    <col min="15171" max="15171" width="12" style="262" customWidth="1"/>
    <col min="15172" max="15172" width="13.109375" style="262" customWidth="1"/>
    <col min="15173" max="15173" width="12.88671875" style="262" customWidth="1"/>
    <col min="15174" max="15178" width="13.5546875" style="262" customWidth="1"/>
    <col min="15179" max="15179" width="3.33203125" style="262" customWidth="1"/>
    <col min="15180" max="15186" width="0" style="262" hidden="1" customWidth="1"/>
    <col min="15187" max="15360" width="9.109375" style="262"/>
    <col min="15361" max="15361" width="2.88671875" style="262" customWidth="1"/>
    <col min="15362" max="15362" width="3.33203125" style="262" customWidth="1"/>
    <col min="15363" max="15363" width="69.33203125" style="262" customWidth="1"/>
    <col min="15364" max="15364" width="6" style="262" customWidth="1"/>
    <col min="15365" max="15369" width="13.5546875" style="262" customWidth="1"/>
    <col min="15370" max="15424" width="0" style="262" hidden="1" customWidth="1"/>
    <col min="15425" max="15426" width="12.88671875" style="262" customWidth="1"/>
    <col min="15427" max="15427" width="12" style="262" customWidth="1"/>
    <col min="15428" max="15428" width="13.109375" style="262" customWidth="1"/>
    <col min="15429" max="15429" width="12.88671875" style="262" customWidth="1"/>
    <col min="15430" max="15434" width="13.5546875" style="262" customWidth="1"/>
    <col min="15435" max="15435" width="3.33203125" style="262" customWidth="1"/>
    <col min="15436" max="15442" width="0" style="262" hidden="1" customWidth="1"/>
    <col min="15443" max="15616" width="9.109375" style="262"/>
    <col min="15617" max="15617" width="2.88671875" style="262" customWidth="1"/>
    <col min="15618" max="15618" width="3.33203125" style="262" customWidth="1"/>
    <col min="15619" max="15619" width="69.33203125" style="262" customWidth="1"/>
    <col min="15620" max="15620" width="6" style="262" customWidth="1"/>
    <col min="15621" max="15625" width="13.5546875" style="262" customWidth="1"/>
    <col min="15626" max="15680" width="0" style="262" hidden="1" customWidth="1"/>
    <col min="15681" max="15682" width="12.88671875" style="262" customWidth="1"/>
    <col min="15683" max="15683" width="12" style="262" customWidth="1"/>
    <col min="15684" max="15684" width="13.109375" style="262" customWidth="1"/>
    <col min="15685" max="15685" width="12.88671875" style="262" customWidth="1"/>
    <col min="15686" max="15690" width="13.5546875" style="262" customWidth="1"/>
    <col min="15691" max="15691" width="3.33203125" style="262" customWidth="1"/>
    <col min="15692" max="15698" width="0" style="262" hidden="1" customWidth="1"/>
    <col min="15699" max="15872" width="9.109375" style="262"/>
    <col min="15873" max="15873" width="2.88671875" style="262" customWidth="1"/>
    <col min="15874" max="15874" width="3.33203125" style="262" customWidth="1"/>
    <col min="15875" max="15875" width="69.33203125" style="262" customWidth="1"/>
    <col min="15876" max="15876" width="6" style="262" customWidth="1"/>
    <col min="15877" max="15881" width="13.5546875" style="262" customWidth="1"/>
    <col min="15882" max="15936" width="0" style="262" hidden="1" customWidth="1"/>
    <col min="15937" max="15938" width="12.88671875" style="262" customWidth="1"/>
    <col min="15939" max="15939" width="12" style="262" customWidth="1"/>
    <col min="15940" max="15940" width="13.109375" style="262" customWidth="1"/>
    <col min="15941" max="15941" width="12.88671875" style="262" customWidth="1"/>
    <col min="15942" max="15946" width="13.5546875" style="262" customWidth="1"/>
    <col min="15947" max="15947" width="3.33203125" style="262" customWidth="1"/>
    <col min="15948" max="15954" width="0" style="262" hidden="1" customWidth="1"/>
    <col min="15955" max="16128" width="9.109375" style="262"/>
    <col min="16129" max="16129" width="2.88671875" style="262" customWidth="1"/>
    <col min="16130" max="16130" width="3.33203125" style="262" customWidth="1"/>
    <col min="16131" max="16131" width="69.33203125" style="262" customWidth="1"/>
    <col min="16132" max="16132" width="6" style="262" customWidth="1"/>
    <col min="16133" max="16137" width="13.5546875" style="262" customWidth="1"/>
    <col min="16138" max="16192" width="0" style="262" hidden="1" customWidth="1"/>
    <col min="16193" max="16194" width="12.88671875" style="262" customWidth="1"/>
    <col min="16195" max="16195" width="12" style="262" customWidth="1"/>
    <col min="16196" max="16196" width="13.109375" style="262" customWidth="1"/>
    <col min="16197" max="16197" width="12.88671875" style="262" customWidth="1"/>
    <col min="16198" max="16202" width="13.5546875" style="262" customWidth="1"/>
    <col min="16203" max="16203" width="3.33203125" style="262" customWidth="1"/>
    <col min="16204" max="16210" width="0" style="262" hidden="1" customWidth="1"/>
    <col min="16211" max="16384" width="9.109375" style="262"/>
  </cols>
  <sheetData>
    <row r="1" spans="1:81" ht="15.75" x14ac:dyDescent="0.25">
      <c r="A1" s="257" t="s">
        <v>201</v>
      </c>
      <c r="B1" s="258"/>
      <c r="C1" s="259"/>
      <c r="D1" s="260"/>
      <c r="E1" s="261"/>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row>
    <row r="2" spans="1:81" ht="15" x14ac:dyDescent="0.25">
      <c r="A2" s="265"/>
      <c r="B2" s="260"/>
      <c r="D2" s="266"/>
      <c r="E2" s="710" t="s">
        <v>285</v>
      </c>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2"/>
      <c r="BW2" s="267"/>
    </row>
    <row r="3" spans="1:81" ht="15" x14ac:dyDescent="0.25">
      <c r="A3" s="269"/>
      <c r="B3" s="260"/>
      <c r="C3" s="262" t="s">
        <v>202</v>
      </c>
      <c r="D3" s="270"/>
      <c r="E3" s="713" t="s">
        <v>286</v>
      </c>
      <c r="F3" s="714"/>
      <c r="G3" s="714"/>
      <c r="H3" s="714"/>
      <c r="I3" s="715"/>
      <c r="J3" s="713" t="s">
        <v>5</v>
      </c>
      <c r="K3" s="714"/>
      <c r="L3" s="714"/>
      <c r="M3" s="714"/>
      <c r="N3" s="715"/>
      <c r="O3" s="716" t="s">
        <v>6</v>
      </c>
      <c r="P3" s="714"/>
      <c r="Q3" s="714"/>
      <c r="R3" s="714"/>
      <c r="S3" s="715"/>
      <c r="T3" s="713" t="s">
        <v>7</v>
      </c>
      <c r="U3" s="714"/>
      <c r="V3" s="714"/>
      <c r="W3" s="714"/>
      <c r="X3" s="715"/>
      <c r="Y3" s="713" t="s">
        <v>8</v>
      </c>
      <c r="Z3" s="714"/>
      <c r="AA3" s="714"/>
      <c r="AB3" s="714"/>
      <c r="AC3" s="715"/>
      <c r="AD3" s="713" t="s">
        <v>9</v>
      </c>
      <c r="AE3" s="714"/>
      <c r="AF3" s="714"/>
      <c r="AG3" s="714"/>
      <c r="AH3" s="715"/>
      <c r="AI3" s="713" t="s">
        <v>10</v>
      </c>
      <c r="AJ3" s="714"/>
      <c r="AK3" s="714"/>
      <c r="AL3" s="714"/>
      <c r="AM3" s="715"/>
      <c r="AN3" s="713" t="s">
        <v>11</v>
      </c>
      <c r="AO3" s="714"/>
      <c r="AP3" s="714"/>
      <c r="AQ3" s="714"/>
      <c r="AR3" s="715"/>
      <c r="AS3" s="713" t="s">
        <v>12</v>
      </c>
      <c r="AT3" s="714"/>
      <c r="AU3" s="714"/>
      <c r="AV3" s="714"/>
      <c r="AW3" s="715"/>
      <c r="AX3" s="713" t="s">
        <v>13</v>
      </c>
      <c r="AY3" s="714"/>
      <c r="AZ3" s="714"/>
      <c r="BA3" s="714"/>
      <c r="BB3" s="715"/>
      <c r="BC3" s="713" t="s">
        <v>14</v>
      </c>
      <c r="BD3" s="714"/>
      <c r="BE3" s="714"/>
      <c r="BF3" s="714"/>
      <c r="BG3" s="715"/>
      <c r="BH3" s="713" t="s">
        <v>15</v>
      </c>
      <c r="BI3" s="714"/>
      <c r="BJ3" s="714"/>
      <c r="BK3" s="714"/>
      <c r="BL3" s="715"/>
      <c r="BM3" s="713" t="s">
        <v>16</v>
      </c>
      <c r="BN3" s="714"/>
      <c r="BO3" s="714"/>
      <c r="BP3" s="714"/>
      <c r="BQ3" s="715"/>
      <c r="BR3" s="713" t="s">
        <v>17</v>
      </c>
      <c r="BS3" s="714"/>
      <c r="BT3" s="714"/>
      <c r="BU3" s="714"/>
      <c r="BV3" s="717"/>
      <c r="BW3" s="271"/>
      <c r="BX3" s="271"/>
    </row>
    <row r="4" spans="1:81" ht="12.75" x14ac:dyDescent="0.2">
      <c r="A4" s="269"/>
      <c r="B4" s="260"/>
      <c r="D4" s="270"/>
      <c r="E4" s="272" t="s">
        <v>204</v>
      </c>
      <c r="F4" s="273" t="s">
        <v>205</v>
      </c>
      <c r="G4" s="273" t="s">
        <v>206</v>
      </c>
      <c r="H4" s="273" t="s">
        <v>207</v>
      </c>
      <c r="I4" s="274" t="s">
        <v>208</v>
      </c>
      <c r="J4" s="272" t="s">
        <v>204</v>
      </c>
      <c r="K4" s="273" t="s">
        <v>205</v>
      </c>
      <c r="L4" s="273" t="s">
        <v>206</v>
      </c>
      <c r="M4" s="273" t="s">
        <v>207</v>
      </c>
      <c r="N4" s="275" t="s">
        <v>208</v>
      </c>
      <c r="O4" s="273" t="s">
        <v>204</v>
      </c>
      <c r="P4" s="273" t="s">
        <v>205</v>
      </c>
      <c r="Q4" s="273" t="s">
        <v>206</v>
      </c>
      <c r="R4" s="273" t="s">
        <v>207</v>
      </c>
      <c r="S4" s="275" t="s">
        <v>208</v>
      </c>
      <c r="T4" s="272" t="s">
        <v>204</v>
      </c>
      <c r="U4" s="273" t="s">
        <v>205</v>
      </c>
      <c r="V4" s="273" t="s">
        <v>206</v>
      </c>
      <c r="W4" s="273" t="s">
        <v>207</v>
      </c>
      <c r="X4" s="275" t="s">
        <v>208</v>
      </c>
      <c r="Y4" s="272" t="s">
        <v>204</v>
      </c>
      <c r="Z4" s="273" t="s">
        <v>205</v>
      </c>
      <c r="AA4" s="273" t="s">
        <v>206</v>
      </c>
      <c r="AB4" s="273" t="s">
        <v>207</v>
      </c>
      <c r="AC4" s="275" t="s">
        <v>208</v>
      </c>
      <c r="AD4" s="272" t="s">
        <v>204</v>
      </c>
      <c r="AE4" s="273" t="s">
        <v>205</v>
      </c>
      <c r="AF4" s="273" t="s">
        <v>206</v>
      </c>
      <c r="AG4" s="273" t="s">
        <v>207</v>
      </c>
      <c r="AH4" s="275" t="s">
        <v>208</v>
      </c>
      <c r="AI4" s="272" t="s">
        <v>204</v>
      </c>
      <c r="AJ4" s="273" t="s">
        <v>205</v>
      </c>
      <c r="AK4" s="273" t="s">
        <v>206</v>
      </c>
      <c r="AL4" s="273" t="s">
        <v>207</v>
      </c>
      <c r="AM4" s="275" t="s">
        <v>208</v>
      </c>
      <c r="AN4" s="272" t="s">
        <v>204</v>
      </c>
      <c r="AO4" s="273" t="s">
        <v>205</v>
      </c>
      <c r="AP4" s="273" t="s">
        <v>206</v>
      </c>
      <c r="AQ4" s="273" t="s">
        <v>207</v>
      </c>
      <c r="AR4" s="275" t="s">
        <v>208</v>
      </c>
      <c r="AS4" s="272" t="s">
        <v>204</v>
      </c>
      <c r="AT4" s="273" t="s">
        <v>205</v>
      </c>
      <c r="AU4" s="273" t="s">
        <v>206</v>
      </c>
      <c r="AV4" s="273" t="s">
        <v>207</v>
      </c>
      <c r="AW4" s="275" t="s">
        <v>208</v>
      </c>
      <c r="AX4" s="272" t="s">
        <v>204</v>
      </c>
      <c r="AY4" s="273" t="s">
        <v>205</v>
      </c>
      <c r="AZ4" s="273" t="s">
        <v>206</v>
      </c>
      <c r="BA4" s="273" t="s">
        <v>207</v>
      </c>
      <c r="BB4" s="275" t="s">
        <v>208</v>
      </c>
      <c r="BC4" s="272" t="s">
        <v>204</v>
      </c>
      <c r="BD4" s="273" t="s">
        <v>205</v>
      </c>
      <c r="BE4" s="273" t="s">
        <v>206</v>
      </c>
      <c r="BF4" s="273" t="s">
        <v>207</v>
      </c>
      <c r="BG4" s="275" t="s">
        <v>208</v>
      </c>
      <c r="BH4" s="272" t="s">
        <v>204</v>
      </c>
      <c r="BI4" s="273" t="s">
        <v>205</v>
      </c>
      <c r="BJ4" s="273" t="s">
        <v>206</v>
      </c>
      <c r="BK4" s="273" t="s">
        <v>209</v>
      </c>
      <c r="BL4" s="275" t="s">
        <v>208</v>
      </c>
      <c r="BM4" s="272" t="s">
        <v>204</v>
      </c>
      <c r="BN4" s="273" t="s">
        <v>205</v>
      </c>
      <c r="BO4" s="273" t="s">
        <v>206</v>
      </c>
      <c r="BP4" s="273" t="s">
        <v>207</v>
      </c>
      <c r="BQ4" s="275" t="s">
        <v>208</v>
      </c>
      <c r="BR4" s="272" t="s">
        <v>204</v>
      </c>
      <c r="BS4" s="273" t="s">
        <v>205</v>
      </c>
      <c r="BT4" s="273" t="s">
        <v>206</v>
      </c>
      <c r="BU4" s="273" t="s">
        <v>207</v>
      </c>
      <c r="BV4" s="276" t="s">
        <v>208</v>
      </c>
      <c r="BW4" s="267"/>
      <c r="BX4" s="271"/>
    </row>
    <row r="5" spans="1:81" ht="12.75" x14ac:dyDescent="0.2">
      <c r="A5" s="277" t="s">
        <v>18</v>
      </c>
      <c r="B5" s="278"/>
      <c r="C5" s="278"/>
      <c r="D5" s="279"/>
      <c r="E5" s="280" t="s">
        <v>210</v>
      </c>
      <c r="F5" s="281" t="s">
        <v>211</v>
      </c>
      <c r="G5" s="281" t="s">
        <v>212</v>
      </c>
      <c r="H5" s="281" t="s">
        <v>213</v>
      </c>
      <c r="I5" s="282"/>
      <c r="J5" s="280" t="s">
        <v>210</v>
      </c>
      <c r="K5" s="281" t="s">
        <v>211</v>
      </c>
      <c r="L5" s="281" t="s">
        <v>212</v>
      </c>
      <c r="M5" s="281" t="s">
        <v>213</v>
      </c>
      <c r="N5" s="282"/>
      <c r="O5" s="281" t="s">
        <v>210</v>
      </c>
      <c r="P5" s="281" t="s">
        <v>211</v>
      </c>
      <c r="Q5" s="281" t="s">
        <v>212</v>
      </c>
      <c r="R5" s="281" t="s">
        <v>213</v>
      </c>
      <c r="S5" s="282"/>
      <c r="T5" s="280" t="s">
        <v>210</v>
      </c>
      <c r="U5" s="281" t="s">
        <v>211</v>
      </c>
      <c r="V5" s="281" t="s">
        <v>212</v>
      </c>
      <c r="W5" s="281" t="s">
        <v>213</v>
      </c>
      <c r="X5" s="282"/>
      <c r="Y5" s="280" t="s">
        <v>210</v>
      </c>
      <c r="Z5" s="281" t="s">
        <v>211</v>
      </c>
      <c r="AA5" s="281" t="s">
        <v>212</v>
      </c>
      <c r="AB5" s="281" t="s">
        <v>213</v>
      </c>
      <c r="AC5" s="282"/>
      <c r="AD5" s="280" t="s">
        <v>210</v>
      </c>
      <c r="AE5" s="281" t="s">
        <v>211</v>
      </c>
      <c r="AF5" s="281" t="s">
        <v>212</v>
      </c>
      <c r="AG5" s="281" t="s">
        <v>213</v>
      </c>
      <c r="AH5" s="282"/>
      <c r="AI5" s="280" t="s">
        <v>210</v>
      </c>
      <c r="AJ5" s="281" t="s">
        <v>211</v>
      </c>
      <c r="AK5" s="281" t="s">
        <v>212</v>
      </c>
      <c r="AL5" s="281" t="s">
        <v>213</v>
      </c>
      <c r="AM5" s="282"/>
      <c r="AN5" s="280" t="s">
        <v>210</v>
      </c>
      <c r="AO5" s="281" t="s">
        <v>211</v>
      </c>
      <c r="AP5" s="281" t="s">
        <v>212</v>
      </c>
      <c r="AQ5" s="281" t="s">
        <v>213</v>
      </c>
      <c r="AR5" s="282"/>
      <c r="AS5" s="280" t="s">
        <v>210</v>
      </c>
      <c r="AT5" s="281" t="s">
        <v>211</v>
      </c>
      <c r="AU5" s="281" t="s">
        <v>212</v>
      </c>
      <c r="AV5" s="281" t="s">
        <v>213</v>
      </c>
      <c r="AW5" s="282"/>
      <c r="AX5" s="280" t="s">
        <v>210</v>
      </c>
      <c r="AY5" s="281" t="s">
        <v>211</v>
      </c>
      <c r="AZ5" s="281" t="s">
        <v>212</v>
      </c>
      <c r="BA5" s="281" t="s">
        <v>213</v>
      </c>
      <c r="BB5" s="282"/>
      <c r="BC5" s="280" t="s">
        <v>210</v>
      </c>
      <c r="BD5" s="281" t="s">
        <v>211</v>
      </c>
      <c r="BE5" s="281" t="s">
        <v>212</v>
      </c>
      <c r="BF5" s="281" t="s">
        <v>213</v>
      </c>
      <c r="BG5" s="282"/>
      <c r="BH5" s="280" t="s">
        <v>210</v>
      </c>
      <c r="BI5" s="281" t="s">
        <v>211</v>
      </c>
      <c r="BJ5" s="281" t="s">
        <v>212</v>
      </c>
      <c r="BK5" s="281" t="s">
        <v>213</v>
      </c>
      <c r="BL5" s="282"/>
      <c r="BM5" s="280" t="s">
        <v>210</v>
      </c>
      <c r="BN5" s="281" t="s">
        <v>211</v>
      </c>
      <c r="BO5" s="281" t="s">
        <v>212</v>
      </c>
      <c r="BP5" s="281" t="s">
        <v>213</v>
      </c>
      <c r="BQ5" s="282"/>
      <c r="BR5" s="280" t="s">
        <v>210</v>
      </c>
      <c r="BS5" s="281" t="s">
        <v>211</v>
      </c>
      <c r="BT5" s="281" t="s">
        <v>212</v>
      </c>
      <c r="BU5" s="281" t="s">
        <v>213</v>
      </c>
      <c r="BV5" s="280"/>
      <c r="BW5" s="267"/>
      <c r="BX5" s="370">
        <v>100</v>
      </c>
    </row>
    <row r="6" spans="1:81" ht="12.75" x14ac:dyDescent="0.2">
      <c r="A6" s="284"/>
      <c r="B6" s="260"/>
      <c r="D6" s="273"/>
      <c r="E6" s="285"/>
      <c r="F6" s="273"/>
      <c r="G6" s="273"/>
      <c r="H6" s="273"/>
      <c r="I6" s="286"/>
      <c r="J6" s="272"/>
      <c r="K6" s="273"/>
      <c r="L6" s="273"/>
      <c r="M6" s="273"/>
      <c r="N6" s="286"/>
      <c r="O6" s="273"/>
      <c r="P6" s="273"/>
      <c r="Q6" s="273"/>
      <c r="R6" s="273"/>
      <c r="S6" s="286"/>
      <c r="T6" s="272"/>
      <c r="U6" s="273"/>
      <c r="V6" s="273"/>
      <c r="W6" s="273"/>
      <c r="X6" s="286"/>
      <c r="Y6" s="272"/>
      <c r="Z6" s="273"/>
      <c r="AA6" s="273"/>
      <c r="AB6" s="273"/>
      <c r="AC6" s="286"/>
      <c r="AD6" s="272"/>
      <c r="AE6" s="273"/>
      <c r="AF6" s="273"/>
      <c r="AG6" s="273"/>
      <c r="AH6" s="286"/>
      <c r="AI6" s="272"/>
      <c r="AJ6" s="273"/>
      <c r="AK6" s="273"/>
      <c r="AL6" s="273"/>
      <c r="AM6" s="286"/>
      <c r="AN6" s="272"/>
      <c r="AO6" s="273"/>
      <c r="AP6" s="273"/>
      <c r="AQ6" s="273"/>
      <c r="AR6" s="286"/>
      <c r="AS6" s="272"/>
      <c r="AT6" s="273"/>
      <c r="AU6" s="273"/>
      <c r="AV6" s="273"/>
      <c r="AW6" s="286"/>
      <c r="AX6" s="272"/>
      <c r="AY6" s="273"/>
      <c r="AZ6" s="273"/>
      <c r="BA6" s="273"/>
      <c r="BB6" s="286"/>
      <c r="BC6" s="272"/>
      <c r="BD6" s="273"/>
      <c r="BE6" s="273"/>
      <c r="BF6" s="273"/>
      <c r="BG6" s="286"/>
      <c r="BH6" s="272"/>
      <c r="BI6" s="273"/>
      <c r="BJ6" s="273"/>
      <c r="BK6" s="273"/>
      <c r="BL6" s="286"/>
      <c r="BM6" s="272"/>
      <c r="BN6" s="273"/>
      <c r="BO6" s="273"/>
      <c r="BP6" s="273"/>
      <c r="BQ6" s="286"/>
      <c r="BR6" s="272"/>
      <c r="BS6" s="273"/>
      <c r="BT6" s="273"/>
      <c r="BU6" s="273"/>
      <c r="BV6" s="272"/>
      <c r="BW6" s="267"/>
      <c r="BX6" s="271"/>
    </row>
    <row r="7" spans="1:81" ht="13.5" customHeight="1" x14ac:dyDescent="0.2">
      <c r="A7" s="287">
        <v>1</v>
      </c>
      <c r="B7" s="288" t="s">
        <v>216</v>
      </c>
      <c r="D7" s="289"/>
      <c r="E7" s="290">
        <v>611772</v>
      </c>
      <c r="F7" s="291">
        <v>1543</v>
      </c>
      <c r="G7" s="291">
        <v>16981</v>
      </c>
      <c r="H7" s="291">
        <v>1145</v>
      </c>
      <c r="I7" s="292">
        <v>631441</v>
      </c>
      <c r="J7" s="293">
        <v>39235</v>
      </c>
      <c r="K7" s="294">
        <v>51</v>
      </c>
      <c r="L7" s="294">
        <v>135</v>
      </c>
      <c r="M7" s="294">
        <v>0</v>
      </c>
      <c r="N7" s="292">
        <v>39421</v>
      </c>
      <c r="O7" s="294">
        <v>37059</v>
      </c>
      <c r="P7" s="294">
        <v>148</v>
      </c>
      <c r="Q7" s="294">
        <v>133</v>
      </c>
      <c r="R7" s="294">
        <v>0</v>
      </c>
      <c r="S7" s="292">
        <v>37340</v>
      </c>
      <c r="T7" s="293">
        <v>38132</v>
      </c>
      <c r="U7" s="294">
        <v>318</v>
      </c>
      <c r="V7" s="294">
        <v>690</v>
      </c>
      <c r="W7" s="294">
        <v>0</v>
      </c>
      <c r="X7" s="292">
        <v>39140</v>
      </c>
      <c r="Y7" s="293">
        <v>35672</v>
      </c>
      <c r="Z7" s="294">
        <v>341</v>
      </c>
      <c r="AA7" s="294">
        <v>1924</v>
      </c>
      <c r="AB7" s="294">
        <v>0</v>
      </c>
      <c r="AC7" s="292">
        <v>37937</v>
      </c>
      <c r="AD7" s="293">
        <v>44418</v>
      </c>
      <c r="AE7" s="294">
        <v>126</v>
      </c>
      <c r="AF7" s="294">
        <v>1489</v>
      </c>
      <c r="AG7" s="294">
        <v>0</v>
      </c>
      <c r="AH7" s="292">
        <v>46033</v>
      </c>
      <c r="AI7" s="293">
        <v>60287</v>
      </c>
      <c r="AJ7" s="294">
        <v>107</v>
      </c>
      <c r="AK7" s="294">
        <v>3971</v>
      </c>
      <c r="AL7" s="294">
        <v>0</v>
      </c>
      <c r="AM7" s="292">
        <v>64365</v>
      </c>
      <c r="AN7" s="293">
        <v>91897</v>
      </c>
      <c r="AO7" s="294">
        <v>216</v>
      </c>
      <c r="AP7" s="294">
        <v>296</v>
      </c>
      <c r="AQ7" s="294">
        <v>0</v>
      </c>
      <c r="AR7" s="292">
        <v>92409</v>
      </c>
      <c r="AS7" s="293">
        <v>43887</v>
      </c>
      <c r="AT7" s="294">
        <v>44</v>
      </c>
      <c r="AU7" s="294">
        <v>1334</v>
      </c>
      <c r="AV7" s="294">
        <v>0</v>
      </c>
      <c r="AW7" s="292">
        <v>45265</v>
      </c>
      <c r="AX7" s="293">
        <v>53036</v>
      </c>
      <c r="AY7" s="294">
        <v>54</v>
      </c>
      <c r="AZ7" s="294">
        <v>2822</v>
      </c>
      <c r="BA7" s="294">
        <v>0</v>
      </c>
      <c r="BB7" s="292">
        <v>55912</v>
      </c>
      <c r="BC7" s="293">
        <v>42897</v>
      </c>
      <c r="BD7" s="294">
        <v>48</v>
      </c>
      <c r="BE7" s="294">
        <v>1005</v>
      </c>
      <c r="BF7" s="294">
        <v>0</v>
      </c>
      <c r="BG7" s="292">
        <v>43950</v>
      </c>
      <c r="BH7" s="293">
        <v>39798</v>
      </c>
      <c r="BI7" s="294">
        <v>56</v>
      </c>
      <c r="BJ7" s="294">
        <v>1167</v>
      </c>
      <c r="BK7" s="294">
        <v>0</v>
      </c>
      <c r="BL7" s="292">
        <v>41021</v>
      </c>
      <c r="BM7" s="293">
        <v>85454</v>
      </c>
      <c r="BN7" s="294">
        <v>34</v>
      </c>
      <c r="BO7" s="294">
        <v>2015</v>
      </c>
      <c r="BP7" s="294">
        <v>1145</v>
      </c>
      <c r="BQ7" s="292">
        <v>88648</v>
      </c>
      <c r="BR7" s="293">
        <v>611772</v>
      </c>
      <c r="BS7" s="291">
        <v>1543</v>
      </c>
      <c r="BT7" s="294">
        <v>16981</v>
      </c>
      <c r="BU7" s="294">
        <v>1145</v>
      </c>
      <c r="BV7" s="293">
        <v>631441</v>
      </c>
      <c r="BW7" s="295"/>
      <c r="BX7" s="296">
        <v>100</v>
      </c>
      <c r="BZ7" s="245">
        <v>0</v>
      </c>
      <c r="CA7" s="245">
        <v>0</v>
      </c>
      <c r="CB7" s="245">
        <v>0</v>
      </c>
      <c r="CC7" s="245">
        <v>0</v>
      </c>
    </row>
    <row r="8" spans="1:81" ht="12.75" x14ac:dyDescent="0.2">
      <c r="A8" s="287">
        <v>2</v>
      </c>
      <c r="B8" s="288" t="s">
        <v>217</v>
      </c>
      <c r="D8" s="298" t="s">
        <v>86</v>
      </c>
      <c r="E8" s="290">
        <v>1518513</v>
      </c>
      <c r="F8" s="291">
        <v>464247</v>
      </c>
      <c r="G8" s="291">
        <v>10700</v>
      </c>
      <c r="H8" s="291">
        <v>0</v>
      </c>
      <c r="I8" s="292">
        <v>1993460</v>
      </c>
      <c r="J8" s="293">
        <v>127270</v>
      </c>
      <c r="K8" s="294">
        <v>115828</v>
      </c>
      <c r="L8" s="294">
        <v>0</v>
      </c>
      <c r="M8" s="294">
        <v>0</v>
      </c>
      <c r="N8" s="292">
        <v>243098</v>
      </c>
      <c r="O8" s="294">
        <v>121796</v>
      </c>
      <c r="P8" s="294">
        <v>0</v>
      </c>
      <c r="Q8" s="294">
        <v>935</v>
      </c>
      <c r="R8" s="294">
        <v>0</v>
      </c>
      <c r="S8" s="292">
        <v>122731</v>
      </c>
      <c r="T8" s="293">
        <v>126124</v>
      </c>
      <c r="U8" s="294">
        <v>0</v>
      </c>
      <c r="V8" s="294">
        <v>935</v>
      </c>
      <c r="W8" s="294">
        <v>0</v>
      </c>
      <c r="X8" s="292">
        <v>127059</v>
      </c>
      <c r="Y8" s="293">
        <v>129617</v>
      </c>
      <c r="Z8" s="294">
        <v>115828</v>
      </c>
      <c r="AA8" s="294">
        <v>935</v>
      </c>
      <c r="AB8" s="294">
        <v>0</v>
      </c>
      <c r="AC8" s="292">
        <v>246380</v>
      </c>
      <c r="AD8" s="293">
        <v>128066</v>
      </c>
      <c r="AE8" s="294">
        <v>0</v>
      </c>
      <c r="AF8" s="294">
        <v>935</v>
      </c>
      <c r="AG8" s="294">
        <v>0</v>
      </c>
      <c r="AH8" s="292">
        <v>129001</v>
      </c>
      <c r="AI8" s="293">
        <v>124983</v>
      </c>
      <c r="AJ8" s="294">
        <v>935</v>
      </c>
      <c r="AK8" s="294">
        <v>0</v>
      </c>
      <c r="AL8" s="294">
        <v>0</v>
      </c>
      <c r="AM8" s="292">
        <v>125918</v>
      </c>
      <c r="AN8" s="293">
        <v>124674</v>
      </c>
      <c r="AO8" s="294">
        <v>115828</v>
      </c>
      <c r="AP8" s="294">
        <v>935</v>
      </c>
      <c r="AQ8" s="294">
        <v>0</v>
      </c>
      <c r="AR8" s="292">
        <v>241437</v>
      </c>
      <c r="AS8" s="293">
        <v>129232</v>
      </c>
      <c r="AT8" s="294">
        <v>0</v>
      </c>
      <c r="AU8" s="294">
        <v>935</v>
      </c>
      <c r="AV8" s="294">
        <v>0</v>
      </c>
      <c r="AW8" s="292">
        <v>130167</v>
      </c>
      <c r="AX8" s="293">
        <v>123713</v>
      </c>
      <c r="AY8" s="294">
        <v>0</v>
      </c>
      <c r="AZ8" s="294">
        <v>935</v>
      </c>
      <c r="BA8" s="294">
        <v>0</v>
      </c>
      <c r="BB8" s="292">
        <v>124648</v>
      </c>
      <c r="BC8" s="293">
        <v>124532</v>
      </c>
      <c r="BD8" s="294">
        <v>115828</v>
      </c>
      <c r="BE8" s="294">
        <v>1094</v>
      </c>
      <c r="BF8" s="294">
        <v>0</v>
      </c>
      <c r="BG8" s="292">
        <v>241454</v>
      </c>
      <c r="BH8" s="293">
        <v>127817</v>
      </c>
      <c r="BI8" s="294">
        <v>0</v>
      </c>
      <c r="BJ8" s="294">
        <v>925</v>
      </c>
      <c r="BK8" s="294">
        <v>0</v>
      </c>
      <c r="BL8" s="292">
        <v>128742</v>
      </c>
      <c r="BM8" s="293">
        <v>130689</v>
      </c>
      <c r="BN8" s="294">
        <v>0</v>
      </c>
      <c r="BO8" s="294">
        <v>2136</v>
      </c>
      <c r="BP8" s="294">
        <v>0</v>
      </c>
      <c r="BQ8" s="292">
        <v>132825</v>
      </c>
      <c r="BR8" s="293">
        <v>1518513</v>
      </c>
      <c r="BS8" s="291">
        <v>464247</v>
      </c>
      <c r="BT8" s="294">
        <v>10700</v>
      </c>
      <c r="BU8" s="294">
        <v>0</v>
      </c>
      <c r="BV8" s="293">
        <v>1993460</v>
      </c>
      <c r="BW8" s="299"/>
      <c r="BX8" s="296">
        <v>100</v>
      </c>
      <c r="BZ8" s="245">
        <v>0</v>
      </c>
      <c r="CA8" s="245">
        <v>0</v>
      </c>
      <c r="CB8" s="245">
        <v>0</v>
      </c>
      <c r="CC8" s="245">
        <v>0</v>
      </c>
    </row>
    <row r="9" spans="1:81" ht="12.75" x14ac:dyDescent="0.2">
      <c r="A9" s="287">
        <v>3</v>
      </c>
      <c r="B9" s="288" t="s">
        <v>287</v>
      </c>
      <c r="D9" s="298"/>
      <c r="E9" s="290">
        <v>95848</v>
      </c>
      <c r="F9" s="291">
        <v>1430238</v>
      </c>
      <c r="G9" s="291">
        <v>5480</v>
      </c>
      <c r="H9" s="291">
        <v>3200071</v>
      </c>
      <c r="I9" s="292">
        <v>4731637</v>
      </c>
      <c r="J9" s="293">
        <v>5829</v>
      </c>
      <c r="K9" s="294">
        <v>32386</v>
      </c>
      <c r="L9" s="294">
        <v>0</v>
      </c>
      <c r="M9" s="294">
        <v>0</v>
      </c>
      <c r="N9" s="292">
        <v>38215</v>
      </c>
      <c r="O9" s="294">
        <v>9685</v>
      </c>
      <c r="P9" s="294">
        <v>247376</v>
      </c>
      <c r="Q9" s="294">
        <v>44</v>
      </c>
      <c r="R9" s="294">
        <v>21</v>
      </c>
      <c r="S9" s="292">
        <v>257126</v>
      </c>
      <c r="T9" s="293">
        <v>7317</v>
      </c>
      <c r="U9" s="294">
        <v>42383</v>
      </c>
      <c r="V9" s="294">
        <v>0</v>
      </c>
      <c r="W9" s="294">
        <v>1</v>
      </c>
      <c r="X9" s="292">
        <v>49701</v>
      </c>
      <c r="Y9" s="293">
        <v>8157</v>
      </c>
      <c r="Z9" s="294">
        <v>201914</v>
      </c>
      <c r="AA9" s="294">
        <v>48</v>
      </c>
      <c r="AB9" s="294">
        <v>17</v>
      </c>
      <c r="AC9" s="292">
        <v>210136</v>
      </c>
      <c r="AD9" s="293">
        <v>10956</v>
      </c>
      <c r="AE9" s="294">
        <v>85878</v>
      </c>
      <c r="AF9" s="294">
        <v>115</v>
      </c>
      <c r="AG9" s="294">
        <v>0</v>
      </c>
      <c r="AH9" s="292">
        <v>96949</v>
      </c>
      <c r="AI9" s="293">
        <v>7220</v>
      </c>
      <c r="AJ9" s="294">
        <v>38078</v>
      </c>
      <c r="AK9" s="294">
        <v>196</v>
      </c>
      <c r="AL9" s="294">
        <v>0</v>
      </c>
      <c r="AM9" s="292">
        <v>45494</v>
      </c>
      <c r="AN9" s="293">
        <v>6835</v>
      </c>
      <c r="AO9" s="294">
        <v>268468</v>
      </c>
      <c r="AP9" s="294">
        <v>38</v>
      </c>
      <c r="AQ9" s="294">
        <v>0</v>
      </c>
      <c r="AR9" s="292">
        <v>275341</v>
      </c>
      <c r="AS9" s="293">
        <v>6401</v>
      </c>
      <c r="AT9" s="294">
        <v>94708</v>
      </c>
      <c r="AU9" s="294">
        <v>69</v>
      </c>
      <c r="AV9" s="294">
        <v>0</v>
      </c>
      <c r="AW9" s="292">
        <v>101178</v>
      </c>
      <c r="AX9" s="293">
        <v>6713</v>
      </c>
      <c r="AY9" s="294">
        <v>58298</v>
      </c>
      <c r="AZ9" s="294">
        <v>316</v>
      </c>
      <c r="BA9" s="294">
        <v>0</v>
      </c>
      <c r="BB9" s="292">
        <v>65327</v>
      </c>
      <c r="BC9" s="293">
        <v>7380</v>
      </c>
      <c r="BD9" s="294">
        <v>169487</v>
      </c>
      <c r="BE9" s="294">
        <v>0</v>
      </c>
      <c r="BF9" s="294">
        <v>2100013</v>
      </c>
      <c r="BG9" s="292">
        <v>2276880</v>
      </c>
      <c r="BH9" s="293">
        <v>7805</v>
      </c>
      <c r="BI9" s="294">
        <v>128619</v>
      </c>
      <c r="BJ9" s="294">
        <v>0</v>
      </c>
      <c r="BK9" s="294">
        <v>3</v>
      </c>
      <c r="BL9" s="292">
        <v>136427</v>
      </c>
      <c r="BM9" s="293">
        <v>11550</v>
      </c>
      <c r="BN9" s="294">
        <v>62643</v>
      </c>
      <c r="BO9" s="294">
        <v>4654</v>
      </c>
      <c r="BP9" s="294">
        <v>1100016</v>
      </c>
      <c r="BQ9" s="292">
        <v>1178863</v>
      </c>
      <c r="BR9" s="293">
        <v>95848</v>
      </c>
      <c r="BS9" s="291">
        <v>1430238</v>
      </c>
      <c r="BT9" s="294">
        <v>5480</v>
      </c>
      <c r="BU9" s="294">
        <v>3200071</v>
      </c>
      <c r="BV9" s="293">
        <v>4731637</v>
      </c>
      <c r="BW9" s="299"/>
      <c r="BX9" s="296">
        <v>100</v>
      </c>
      <c r="BZ9" s="245">
        <v>0</v>
      </c>
      <c r="CA9" s="245">
        <v>0</v>
      </c>
      <c r="CB9" s="245">
        <v>0</v>
      </c>
      <c r="CC9" s="245">
        <v>0</v>
      </c>
    </row>
    <row r="10" spans="1:81" ht="12.75" x14ac:dyDescent="0.2">
      <c r="A10" s="287">
        <v>4</v>
      </c>
      <c r="B10" s="288" t="s">
        <v>288</v>
      </c>
      <c r="D10" s="298"/>
      <c r="E10" s="290">
        <v>4358707</v>
      </c>
      <c r="F10" s="291">
        <v>82521206</v>
      </c>
      <c r="G10" s="291">
        <v>70301</v>
      </c>
      <c r="H10" s="291">
        <v>135</v>
      </c>
      <c r="I10" s="292">
        <v>86950349</v>
      </c>
      <c r="J10" s="293">
        <v>269058</v>
      </c>
      <c r="K10" s="294">
        <v>40647</v>
      </c>
      <c r="L10" s="294">
        <v>28</v>
      </c>
      <c r="M10" s="294">
        <v>0</v>
      </c>
      <c r="N10" s="292">
        <v>309733</v>
      </c>
      <c r="O10" s="294">
        <v>269745</v>
      </c>
      <c r="P10" s="294">
        <v>85996</v>
      </c>
      <c r="Q10" s="294">
        <v>1365</v>
      </c>
      <c r="R10" s="294">
        <v>0</v>
      </c>
      <c r="S10" s="292">
        <v>357106</v>
      </c>
      <c r="T10" s="293">
        <v>263603</v>
      </c>
      <c r="U10" s="294">
        <v>1</v>
      </c>
      <c r="V10" s="294">
        <v>55</v>
      </c>
      <c r="W10" s="294">
        <v>0</v>
      </c>
      <c r="X10" s="292">
        <v>263659</v>
      </c>
      <c r="Y10" s="293">
        <v>281974</v>
      </c>
      <c r="Z10" s="294">
        <v>32341361</v>
      </c>
      <c r="AA10" s="294">
        <v>351</v>
      </c>
      <c r="AB10" s="294">
        <v>0</v>
      </c>
      <c r="AC10" s="292">
        <v>32623686</v>
      </c>
      <c r="AD10" s="293">
        <v>305389</v>
      </c>
      <c r="AE10" s="294">
        <v>1169916</v>
      </c>
      <c r="AF10" s="294">
        <v>3431</v>
      </c>
      <c r="AG10" s="294">
        <v>0</v>
      </c>
      <c r="AH10" s="292">
        <v>1478736</v>
      </c>
      <c r="AI10" s="293">
        <v>287627</v>
      </c>
      <c r="AJ10" s="294">
        <v>54809</v>
      </c>
      <c r="AK10" s="294">
        <v>8318</v>
      </c>
      <c r="AL10" s="294">
        <v>0</v>
      </c>
      <c r="AM10" s="292">
        <v>350754</v>
      </c>
      <c r="AN10" s="293">
        <v>281692</v>
      </c>
      <c r="AO10" s="294">
        <v>402062</v>
      </c>
      <c r="AP10" s="294">
        <v>729</v>
      </c>
      <c r="AQ10" s="294">
        <v>0</v>
      </c>
      <c r="AR10" s="292">
        <v>684483</v>
      </c>
      <c r="AS10" s="293">
        <v>418158</v>
      </c>
      <c r="AT10" s="294">
        <v>418626</v>
      </c>
      <c r="AU10" s="294">
        <v>4968</v>
      </c>
      <c r="AV10" s="294">
        <v>0</v>
      </c>
      <c r="AW10" s="292">
        <v>841752</v>
      </c>
      <c r="AX10" s="293">
        <v>486423</v>
      </c>
      <c r="AY10" s="294">
        <v>22729096</v>
      </c>
      <c r="AZ10" s="294">
        <v>9640</v>
      </c>
      <c r="BA10" s="294">
        <v>0</v>
      </c>
      <c r="BB10" s="292">
        <v>23225159</v>
      </c>
      <c r="BC10" s="293">
        <v>316807</v>
      </c>
      <c r="BD10" s="294">
        <v>1724641</v>
      </c>
      <c r="BE10" s="294">
        <v>3101</v>
      </c>
      <c r="BF10" s="294">
        <v>0</v>
      </c>
      <c r="BG10" s="292">
        <v>2044549</v>
      </c>
      <c r="BH10" s="293">
        <v>453541</v>
      </c>
      <c r="BI10" s="294">
        <v>459095</v>
      </c>
      <c r="BJ10" s="294">
        <v>2474</v>
      </c>
      <c r="BK10" s="294">
        <v>40</v>
      </c>
      <c r="BL10" s="292">
        <v>915150</v>
      </c>
      <c r="BM10" s="293">
        <v>724690</v>
      </c>
      <c r="BN10" s="294">
        <v>23094956</v>
      </c>
      <c r="BO10" s="294">
        <v>35841</v>
      </c>
      <c r="BP10" s="294">
        <v>95</v>
      </c>
      <c r="BQ10" s="292">
        <v>23855582</v>
      </c>
      <c r="BR10" s="293">
        <v>4358707</v>
      </c>
      <c r="BS10" s="291">
        <v>82521206</v>
      </c>
      <c r="BT10" s="294">
        <v>70301</v>
      </c>
      <c r="BU10" s="294">
        <v>135</v>
      </c>
      <c r="BV10" s="293">
        <v>86950349</v>
      </c>
      <c r="BW10" s="299"/>
      <c r="BX10" s="296">
        <v>100</v>
      </c>
      <c r="BZ10" s="245">
        <v>0</v>
      </c>
      <c r="CA10" s="245">
        <v>0</v>
      </c>
      <c r="CB10" s="245">
        <v>0</v>
      </c>
      <c r="CC10" s="245">
        <v>0</v>
      </c>
    </row>
    <row r="11" spans="1:81" ht="12.75" x14ac:dyDescent="0.2">
      <c r="A11" s="287">
        <v>5</v>
      </c>
      <c r="B11" s="288" t="s">
        <v>220</v>
      </c>
      <c r="D11" s="289"/>
      <c r="E11" s="290">
        <v>6863669</v>
      </c>
      <c r="F11" s="291">
        <v>2193406</v>
      </c>
      <c r="G11" s="291">
        <v>465400</v>
      </c>
      <c r="H11" s="291">
        <v>5042</v>
      </c>
      <c r="I11" s="292">
        <v>9527517</v>
      </c>
      <c r="J11" s="293">
        <v>454613</v>
      </c>
      <c r="K11" s="294">
        <v>294034</v>
      </c>
      <c r="L11" s="294">
        <v>3944</v>
      </c>
      <c r="M11" s="294">
        <v>0</v>
      </c>
      <c r="N11" s="292">
        <v>752591</v>
      </c>
      <c r="O11" s="294">
        <v>522761</v>
      </c>
      <c r="P11" s="294">
        <v>642591</v>
      </c>
      <c r="Q11" s="294">
        <v>6800</v>
      </c>
      <c r="R11" s="294">
        <v>0</v>
      </c>
      <c r="S11" s="292">
        <v>1172152</v>
      </c>
      <c r="T11" s="293">
        <v>480104</v>
      </c>
      <c r="U11" s="294">
        <v>162981</v>
      </c>
      <c r="V11" s="294">
        <v>16368</v>
      </c>
      <c r="W11" s="294">
        <v>0</v>
      </c>
      <c r="X11" s="292">
        <v>659453</v>
      </c>
      <c r="Y11" s="293">
        <v>673647</v>
      </c>
      <c r="Z11" s="294">
        <v>145482</v>
      </c>
      <c r="AA11" s="294">
        <v>20965</v>
      </c>
      <c r="AB11" s="294">
        <v>0</v>
      </c>
      <c r="AC11" s="292">
        <v>840094</v>
      </c>
      <c r="AD11" s="293">
        <v>481916</v>
      </c>
      <c r="AE11" s="294">
        <v>101861</v>
      </c>
      <c r="AF11" s="294">
        <v>42132</v>
      </c>
      <c r="AG11" s="294">
        <v>0</v>
      </c>
      <c r="AH11" s="292">
        <v>625909</v>
      </c>
      <c r="AI11" s="293">
        <v>553031</v>
      </c>
      <c r="AJ11" s="294">
        <v>100654</v>
      </c>
      <c r="AK11" s="294">
        <v>23675</v>
      </c>
      <c r="AL11" s="294">
        <v>0</v>
      </c>
      <c r="AM11" s="292">
        <v>677360</v>
      </c>
      <c r="AN11" s="293">
        <v>573970</v>
      </c>
      <c r="AO11" s="294">
        <v>140590</v>
      </c>
      <c r="AP11" s="294">
        <v>25343</v>
      </c>
      <c r="AQ11" s="294">
        <v>0</v>
      </c>
      <c r="AR11" s="292">
        <v>739903</v>
      </c>
      <c r="AS11" s="293">
        <v>562306</v>
      </c>
      <c r="AT11" s="294">
        <v>100441</v>
      </c>
      <c r="AU11" s="294">
        <v>40753</v>
      </c>
      <c r="AV11" s="294">
        <v>0</v>
      </c>
      <c r="AW11" s="292">
        <v>703500</v>
      </c>
      <c r="AX11" s="293">
        <v>473164</v>
      </c>
      <c r="AY11" s="294">
        <v>100263</v>
      </c>
      <c r="AZ11" s="294">
        <v>86522</v>
      </c>
      <c r="BA11" s="294">
        <v>0</v>
      </c>
      <c r="BB11" s="292">
        <v>659949</v>
      </c>
      <c r="BC11" s="293">
        <v>565425</v>
      </c>
      <c r="BD11" s="294">
        <v>141330</v>
      </c>
      <c r="BE11" s="294">
        <v>10503</v>
      </c>
      <c r="BF11" s="294">
        <v>0</v>
      </c>
      <c r="BG11" s="292">
        <v>717258</v>
      </c>
      <c r="BH11" s="293">
        <v>749702</v>
      </c>
      <c r="BI11" s="294">
        <v>101332</v>
      </c>
      <c r="BJ11" s="294">
        <v>21799</v>
      </c>
      <c r="BK11" s="294">
        <v>0</v>
      </c>
      <c r="BL11" s="292">
        <v>872833</v>
      </c>
      <c r="BM11" s="293">
        <v>773030</v>
      </c>
      <c r="BN11" s="294">
        <v>161847</v>
      </c>
      <c r="BO11" s="294">
        <v>166596</v>
      </c>
      <c r="BP11" s="294">
        <v>5042</v>
      </c>
      <c r="BQ11" s="292">
        <v>1106515</v>
      </c>
      <c r="BR11" s="293">
        <v>6863669</v>
      </c>
      <c r="BS11" s="291">
        <v>2193406</v>
      </c>
      <c r="BT11" s="294">
        <v>465400</v>
      </c>
      <c r="BU11" s="294">
        <v>5042</v>
      </c>
      <c r="BV11" s="293">
        <v>9527517</v>
      </c>
      <c r="BW11" s="299"/>
      <c r="BX11" s="296">
        <v>100</v>
      </c>
      <c r="BZ11" s="245">
        <v>0</v>
      </c>
      <c r="CA11" s="245">
        <v>0</v>
      </c>
      <c r="CB11" s="245">
        <v>0</v>
      </c>
      <c r="CC11" s="245">
        <v>0</v>
      </c>
    </row>
    <row r="12" spans="1:81" ht="12.75" x14ac:dyDescent="0.2">
      <c r="A12" s="287">
        <v>6</v>
      </c>
      <c r="B12" s="288" t="s">
        <v>221</v>
      </c>
      <c r="D12" s="289"/>
      <c r="E12" s="290">
        <v>5369192</v>
      </c>
      <c r="F12" s="291">
        <v>882300</v>
      </c>
      <c r="G12" s="291">
        <v>58539</v>
      </c>
      <c r="H12" s="291">
        <v>13</v>
      </c>
      <c r="I12" s="292">
        <v>6310044</v>
      </c>
      <c r="J12" s="293">
        <v>439016</v>
      </c>
      <c r="K12" s="294">
        <v>441489</v>
      </c>
      <c r="L12" s="294">
        <v>6067</v>
      </c>
      <c r="M12" s="294">
        <v>0</v>
      </c>
      <c r="N12" s="292">
        <v>886572</v>
      </c>
      <c r="O12" s="294">
        <v>429861</v>
      </c>
      <c r="P12" s="294">
        <v>12354</v>
      </c>
      <c r="Q12" s="294">
        <v>43184</v>
      </c>
      <c r="R12" s="294">
        <v>0</v>
      </c>
      <c r="S12" s="292">
        <v>485399</v>
      </c>
      <c r="T12" s="293">
        <v>433045</v>
      </c>
      <c r="U12" s="294">
        <v>52997</v>
      </c>
      <c r="V12" s="294">
        <v>4479</v>
      </c>
      <c r="W12" s="294">
        <v>0</v>
      </c>
      <c r="X12" s="292">
        <v>490521</v>
      </c>
      <c r="Y12" s="293">
        <v>489724</v>
      </c>
      <c r="Z12" s="294">
        <v>90780</v>
      </c>
      <c r="AA12" s="294">
        <v>42140</v>
      </c>
      <c r="AB12" s="294">
        <v>529</v>
      </c>
      <c r="AC12" s="292">
        <v>623173</v>
      </c>
      <c r="AD12" s="293">
        <v>436776</v>
      </c>
      <c r="AE12" s="294">
        <v>9295</v>
      </c>
      <c r="AF12" s="294">
        <v>3939</v>
      </c>
      <c r="AG12" s="294">
        <v>0</v>
      </c>
      <c r="AH12" s="292">
        <v>450010</v>
      </c>
      <c r="AI12" s="293">
        <v>504822</v>
      </c>
      <c r="AJ12" s="294">
        <v>15096</v>
      </c>
      <c r="AK12" s="294">
        <v>-72669</v>
      </c>
      <c r="AL12" s="294">
        <v>0</v>
      </c>
      <c r="AM12" s="292">
        <v>447249</v>
      </c>
      <c r="AN12" s="293">
        <v>467913</v>
      </c>
      <c r="AO12" s="294">
        <v>1286</v>
      </c>
      <c r="AP12" s="294">
        <v>2364</v>
      </c>
      <c r="AQ12" s="294">
        <v>58</v>
      </c>
      <c r="AR12" s="292">
        <v>471621</v>
      </c>
      <c r="AS12" s="293">
        <v>369654</v>
      </c>
      <c r="AT12" s="294">
        <v>5345</v>
      </c>
      <c r="AU12" s="294">
        <v>204</v>
      </c>
      <c r="AV12" s="294">
        <v>-587</v>
      </c>
      <c r="AW12" s="292">
        <v>374616</v>
      </c>
      <c r="AX12" s="293">
        <v>458920</v>
      </c>
      <c r="AY12" s="294">
        <v>4198</v>
      </c>
      <c r="AZ12" s="294">
        <v>4887</v>
      </c>
      <c r="BA12" s="294">
        <v>0</v>
      </c>
      <c r="BB12" s="292">
        <v>468005</v>
      </c>
      <c r="BC12" s="293">
        <v>201931</v>
      </c>
      <c r="BD12" s="294">
        <v>278</v>
      </c>
      <c r="BE12" s="294">
        <v>101</v>
      </c>
      <c r="BF12" s="294">
        <v>0</v>
      </c>
      <c r="BG12" s="292">
        <v>202310</v>
      </c>
      <c r="BH12" s="293">
        <v>229478</v>
      </c>
      <c r="BI12" s="294">
        <v>-10847</v>
      </c>
      <c r="BJ12" s="294">
        <v>5065</v>
      </c>
      <c r="BK12" s="294">
        <v>11</v>
      </c>
      <c r="BL12" s="292">
        <v>223707</v>
      </c>
      <c r="BM12" s="293">
        <v>908052</v>
      </c>
      <c r="BN12" s="294">
        <v>260029</v>
      </c>
      <c r="BO12" s="294">
        <v>18778</v>
      </c>
      <c r="BP12" s="294">
        <v>2</v>
      </c>
      <c r="BQ12" s="292">
        <v>1186861</v>
      </c>
      <c r="BR12" s="293">
        <v>5369192</v>
      </c>
      <c r="BS12" s="291">
        <v>882300</v>
      </c>
      <c r="BT12" s="294">
        <v>58539</v>
      </c>
      <c r="BU12" s="294">
        <v>13</v>
      </c>
      <c r="BV12" s="293">
        <v>6310044</v>
      </c>
      <c r="BW12" s="299"/>
      <c r="BX12" s="296">
        <v>100</v>
      </c>
      <c r="BZ12" s="245">
        <v>0</v>
      </c>
      <c r="CA12" s="245">
        <v>0</v>
      </c>
      <c r="CB12" s="245">
        <v>0</v>
      </c>
      <c r="CC12" s="245">
        <v>0</v>
      </c>
    </row>
    <row r="13" spans="1:81" ht="12.75" x14ac:dyDescent="0.2">
      <c r="A13" s="287">
        <v>7</v>
      </c>
      <c r="B13" s="288" t="s">
        <v>223</v>
      </c>
      <c r="D13" s="300"/>
      <c r="E13" s="290">
        <v>2014384</v>
      </c>
      <c r="F13" s="291">
        <v>23532333</v>
      </c>
      <c r="G13" s="291">
        <v>13554</v>
      </c>
      <c r="H13" s="291">
        <v>4273817</v>
      </c>
      <c r="I13" s="292">
        <v>29834088</v>
      </c>
      <c r="J13" s="293">
        <v>149165</v>
      </c>
      <c r="K13" s="294">
        <v>1582311</v>
      </c>
      <c r="L13" s="294">
        <v>2036</v>
      </c>
      <c r="M13" s="294">
        <v>0</v>
      </c>
      <c r="N13" s="292">
        <v>1733512</v>
      </c>
      <c r="O13" s="294">
        <v>194420</v>
      </c>
      <c r="P13" s="294">
        <v>1565933</v>
      </c>
      <c r="Q13" s="294">
        <v>1021</v>
      </c>
      <c r="R13" s="294">
        <v>78</v>
      </c>
      <c r="S13" s="292">
        <v>1761452</v>
      </c>
      <c r="T13" s="293">
        <v>90234</v>
      </c>
      <c r="U13" s="294">
        <v>1672323</v>
      </c>
      <c r="V13" s="294">
        <v>2236</v>
      </c>
      <c r="W13" s="294">
        <v>0</v>
      </c>
      <c r="X13" s="292">
        <v>1764793</v>
      </c>
      <c r="Y13" s="293">
        <v>200618</v>
      </c>
      <c r="Z13" s="294">
        <v>1839720</v>
      </c>
      <c r="AA13" s="294">
        <v>712</v>
      </c>
      <c r="AB13" s="294">
        <v>0</v>
      </c>
      <c r="AC13" s="292">
        <v>2041050</v>
      </c>
      <c r="AD13" s="293">
        <v>142937</v>
      </c>
      <c r="AE13" s="294">
        <v>2296090</v>
      </c>
      <c r="AF13" s="294">
        <v>260</v>
      </c>
      <c r="AG13" s="294">
        <v>0</v>
      </c>
      <c r="AH13" s="292">
        <v>2439287</v>
      </c>
      <c r="AI13" s="293">
        <v>124883</v>
      </c>
      <c r="AJ13" s="294">
        <v>1661768</v>
      </c>
      <c r="AK13" s="294">
        <v>1796</v>
      </c>
      <c r="AL13" s="294">
        <v>0</v>
      </c>
      <c r="AM13" s="292">
        <v>1788447</v>
      </c>
      <c r="AN13" s="293">
        <v>197481</v>
      </c>
      <c r="AO13" s="294">
        <v>1814144</v>
      </c>
      <c r="AP13" s="294">
        <v>1529</v>
      </c>
      <c r="AQ13" s="294">
        <v>0</v>
      </c>
      <c r="AR13" s="292">
        <v>2013154</v>
      </c>
      <c r="AS13" s="293">
        <v>182965</v>
      </c>
      <c r="AT13" s="294">
        <v>1930400</v>
      </c>
      <c r="AU13" s="294">
        <v>502</v>
      </c>
      <c r="AV13" s="294">
        <v>0</v>
      </c>
      <c r="AW13" s="292">
        <v>2113867</v>
      </c>
      <c r="AX13" s="293">
        <v>158245</v>
      </c>
      <c r="AY13" s="294">
        <v>1598092</v>
      </c>
      <c r="AZ13" s="294">
        <v>1034</v>
      </c>
      <c r="BA13" s="294">
        <v>4273500</v>
      </c>
      <c r="BB13" s="292">
        <v>6030871</v>
      </c>
      <c r="BC13" s="293">
        <v>156923</v>
      </c>
      <c r="BD13" s="294">
        <v>1882281</v>
      </c>
      <c r="BE13" s="294">
        <v>253</v>
      </c>
      <c r="BF13" s="294">
        <v>170</v>
      </c>
      <c r="BG13" s="292">
        <v>2039627</v>
      </c>
      <c r="BH13" s="293">
        <v>194945</v>
      </c>
      <c r="BI13" s="294">
        <v>2655289</v>
      </c>
      <c r="BJ13" s="294">
        <v>515</v>
      </c>
      <c r="BK13" s="294">
        <v>68</v>
      </c>
      <c r="BL13" s="292">
        <v>2850817</v>
      </c>
      <c r="BM13" s="293">
        <v>221568</v>
      </c>
      <c r="BN13" s="294">
        <v>3033982</v>
      </c>
      <c r="BO13" s="294">
        <v>1660</v>
      </c>
      <c r="BP13" s="294">
        <v>1</v>
      </c>
      <c r="BQ13" s="292">
        <v>3257211</v>
      </c>
      <c r="BR13" s="293">
        <v>2014384</v>
      </c>
      <c r="BS13" s="291">
        <v>23532333</v>
      </c>
      <c r="BT13" s="294">
        <v>13554</v>
      </c>
      <c r="BU13" s="294">
        <v>4273817</v>
      </c>
      <c r="BV13" s="293">
        <v>29834088</v>
      </c>
      <c r="BW13" s="299"/>
      <c r="BX13" s="296">
        <v>100</v>
      </c>
      <c r="BZ13" s="245">
        <v>0</v>
      </c>
      <c r="CA13" s="245">
        <v>0</v>
      </c>
      <c r="CB13" s="245">
        <v>0</v>
      </c>
      <c r="CC13" s="245">
        <v>0</v>
      </c>
    </row>
    <row r="14" spans="1:81" ht="12.75" x14ac:dyDescent="0.2">
      <c r="A14" s="287">
        <v>8</v>
      </c>
      <c r="B14" s="288" t="s">
        <v>224</v>
      </c>
      <c r="D14" s="300"/>
      <c r="E14" s="290">
        <v>445155</v>
      </c>
      <c r="F14" s="291">
        <v>460883</v>
      </c>
      <c r="G14" s="291">
        <v>8450</v>
      </c>
      <c r="H14" s="291">
        <v>30</v>
      </c>
      <c r="I14" s="292">
        <v>914518</v>
      </c>
      <c r="J14" s="293">
        <v>28996</v>
      </c>
      <c r="K14" s="294">
        <v>0</v>
      </c>
      <c r="L14" s="294">
        <v>11</v>
      </c>
      <c r="M14" s="294">
        <v>0</v>
      </c>
      <c r="N14" s="292">
        <v>29007</v>
      </c>
      <c r="O14" s="294">
        <v>33122</v>
      </c>
      <c r="P14" s="294">
        <v>110053</v>
      </c>
      <c r="Q14" s="294">
        <v>1109</v>
      </c>
      <c r="R14" s="294">
        <v>0</v>
      </c>
      <c r="S14" s="292">
        <v>144284</v>
      </c>
      <c r="T14" s="293">
        <v>32962</v>
      </c>
      <c r="U14" s="294">
        <v>0</v>
      </c>
      <c r="V14" s="294">
        <v>167</v>
      </c>
      <c r="W14" s="294">
        <v>0</v>
      </c>
      <c r="X14" s="292">
        <v>33129</v>
      </c>
      <c r="Y14" s="293">
        <v>34454</v>
      </c>
      <c r="Z14" s="294">
        <v>35</v>
      </c>
      <c r="AA14" s="294">
        <v>154</v>
      </c>
      <c r="AB14" s="294">
        <v>0</v>
      </c>
      <c r="AC14" s="292">
        <v>34643</v>
      </c>
      <c r="AD14" s="293">
        <v>36533</v>
      </c>
      <c r="AE14" s="294">
        <v>129732</v>
      </c>
      <c r="AF14" s="294">
        <v>139</v>
      </c>
      <c r="AG14" s="294">
        <v>0</v>
      </c>
      <c r="AH14" s="292">
        <v>166404</v>
      </c>
      <c r="AI14" s="293">
        <v>34085</v>
      </c>
      <c r="AJ14" s="294">
        <v>97</v>
      </c>
      <c r="AK14" s="294">
        <v>351</v>
      </c>
      <c r="AL14" s="294">
        <v>1</v>
      </c>
      <c r="AM14" s="292">
        <v>34534</v>
      </c>
      <c r="AN14" s="293">
        <v>42019</v>
      </c>
      <c r="AO14" s="294">
        <v>149</v>
      </c>
      <c r="AP14" s="294">
        <v>788</v>
      </c>
      <c r="AQ14" s="294">
        <v>0</v>
      </c>
      <c r="AR14" s="292">
        <v>42956</v>
      </c>
      <c r="AS14" s="293">
        <v>35543</v>
      </c>
      <c r="AT14" s="294">
        <v>110376</v>
      </c>
      <c r="AU14" s="294">
        <v>242</v>
      </c>
      <c r="AV14" s="294">
        <v>0</v>
      </c>
      <c r="AW14" s="292">
        <v>146161</v>
      </c>
      <c r="AX14" s="293">
        <v>37185</v>
      </c>
      <c r="AY14" s="294">
        <v>299</v>
      </c>
      <c r="AZ14" s="294">
        <v>1922</v>
      </c>
      <c r="BA14" s="294">
        <v>0</v>
      </c>
      <c r="BB14" s="292">
        <v>39406</v>
      </c>
      <c r="BC14" s="293">
        <v>35125</v>
      </c>
      <c r="BD14" s="294">
        <v>49</v>
      </c>
      <c r="BE14" s="294">
        <v>1377</v>
      </c>
      <c r="BF14" s="294">
        <v>0</v>
      </c>
      <c r="BG14" s="292">
        <v>36551</v>
      </c>
      <c r="BH14" s="293">
        <v>34233</v>
      </c>
      <c r="BI14" s="294">
        <v>110074</v>
      </c>
      <c r="BJ14" s="294">
        <v>281</v>
      </c>
      <c r="BK14" s="294">
        <v>0</v>
      </c>
      <c r="BL14" s="292">
        <v>144588</v>
      </c>
      <c r="BM14" s="293">
        <v>60898</v>
      </c>
      <c r="BN14" s="294">
        <v>19</v>
      </c>
      <c r="BO14" s="294">
        <v>1909</v>
      </c>
      <c r="BP14" s="294">
        <v>29</v>
      </c>
      <c r="BQ14" s="292">
        <v>62855</v>
      </c>
      <c r="BR14" s="293">
        <v>445155</v>
      </c>
      <c r="BS14" s="291">
        <v>460883</v>
      </c>
      <c r="BT14" s="294">
        <v>8450</v>
      </c>
      <c r="BU14" s="294">
        <v>30</v>
      </c>
      <c r="BV14" s="293">
        <v>914518</v>
      </c>
      <c r="BW14" s="299"/>
      <c r="BX14" s="296">
        <v>100</v>
      </c>
      <c r="BZ14" s="245">
        <v>0</v>
      </c>
      <c r="CA14" s="245">
        <v>0</v>
      </c>
      <c r="CB14" s="245">
        <v>0</v>
      </c>
      <c r="CC14" s="245">
        <v>0</v>
      </c>
    </row>
    <row r="15" spans="1:81" ht="12.75" x14ac:dyDescent="0.2">
      <c r="A15" s="287">
        <v>9</v>
      </c>
      <c r="B15" s="301" t="s">
        <v>225</v>
      </c>
      <c r="D15" s="298"/>
      <c r="E15" s="290">
        <v>233992</v>
      </c>
      <c r="F15" s="291">
        <v>8128</v>
      </c>
      <c r="G15" s="291">
        <v>4228</v>
      </c>
      <c r="H15" s="291">
        <v>56600041</v>
      </c>
      <c r="I15" s="292">
        <v>56846389</v>
      </c>
      <c r="J15" s="293">
        <v>22363</v>
      </c>
      <c r="K15" s="294">
        <v>2</v>
      </c>
      <c r="L15" s="294">
        <v>0</v>
      </c>
      <c r="M15" s="294">
        <v>0</v>
      </c>
      <c r="N15" s="292">
        <v>22365</v>
      </c>
      <c r="O15" s="294">
        <v>14051</v>
      </c>
      <c r="P15" s="294">
        <v>19</v>
      </c>
      <c r="Q15" s="294">
        <v>168</v>
      </c>
      <c r="R15" s="294">
        <v>0</v>
      </c>
      <c r="S15" s="292">
        <v>14238</v>
      </c>
      <c r="T15" s="293">
        <v>16701</v>
      </c>
      <c r="U15" s="294">
        <v>1</v>
      </c>
      <c r="V15" s="294">
        <v>449</v>
      </c>
      <c r="W15" s="294">
        <v>0</v>
      </c>
      <c r="X15" s="292">
        <v>17151</v>
      </c>
      <c r="Y15" s="293">
        <v>17978</v>
      </c>
      <c r="Z15" s="294">
        <v>122</v>
      </c>
      <c r="AA15" s="294">
        <v>93</v>
      </c>
      <c r="AB15" s="294">
        <v>0</v>
      </c>
      <c r="AC15" s="292">
        <v>18193</v>
      </c>
      <c r="AD15" s="293">
        <v>22653</v>
      </c>
      <c r="AE15" s="294">
        <v>76</v>
      </c>
      <c r="AF15" s="294">
        <v>255</v>
      </c>
      <c r="AG15" s="294">
        <v>0</v>
      </c>
      <c r="AH15" s="292">
        <v>22984</v>
      </c>
      <c r="AI15" s="293">
        <v>14911</v>
      </c>
      <c r="AJ15" s="294">
        <v>4745</v>
      </c>
      <c r="AK15" s="294">
        <v>-48</v>
      </c>
      <c r="AL15" s="294">
        <v>13500000</v>
      </c>
      <c r="AM15" s="292">
        <v>13519608</v>
      </c>
      <c r="AN15" s="293">
        <v>18930</v>
      </c>
      <c r="AO15" s="294">
        <v>3</v>
      </c>
      <c r="AP15" s="294">
        <v>26</v>
      </c>
      <c r="AQ15" s="294">
        <v>0</v>
      </c>
      <c r="AR15" s="292">
        <v>18959</v>
      </c>
      <c r="AS15" s="293">
        <v>21167</v>
      </c>
      <c r="AT15" s="294">
        <v>0</v>
      </c>
      <c r="AU15" s="294">
        <v>22</v>
      </c>
      <c r="AV15" s="294">
        <v>0</v>
      </c>
      <c r="AW15" s="292">
        <v>21189</v>
      </c>
      <c r="AX15" s="293">
        <v>24388</v>
      </c>
      <c r="AY15" s="294">
        <v>100</v>
      </c>
      <c r="AZ15" s="294">
        <v>2751</v>
      </c>
      <c r="BA15" s="294">
        <v>13000000</v>
      </c>
      <c r="BB15" s="292">
        <v>13027239</v>
      </c>
      <c r="BC15" s="293">
        <v>9997</v>
      </c>
      <c r="BD15" s="294">
        <v>0</v>
      </c>
      <c r="BE15" s="294">
        <v>321</v>
      </c>
      <c r="BF15" s="294">
        <v>7600000</v>
      </c>
      <c r="BG15" s="292">
        <v>7610318</v>
      </c>
      <c r="BH15" s="293">
        <v>17739</v>
      </c>
      <c r="BI15" s="294">
        <v>46</v>
      </c>
      <c r="BJ15" s="294">
        <v>58</v>
      </c>
      <c r="BK15" s="294">
        <v>13000000</v>
      </c>
      <c r="BL15" s="292">
        <v>13017843</v>
      </c>
      <c r="BM15" s="293">
        <v>33114</v>
      </c>
      <c r="BN15" s="294">
        <v>3014</v>
      </c>
      <c r="BO15" s="294">
        <v>133</v>
      </c>
      <c r="BP15" s="294">
        <v>9500041</v>
      </c>
      <c r="BQ15" s="292">
        <v>9536302</v>
      </c>
      <c r="BR15" s="293">
        <v>233992</v>
      </c>
      <c r="BS15" s="291">
        <v>8128</v>
      </c>
      <c r="BT15" s="294">
        <v>4228</v>
      </c>
      <c r="BU15" s="294">
        <v>56600041</v>
      </c>
      <c r="BV15" s="293">
        <v>56846389</v>
      </c>
      <c r="BW15" s="299"/>
      <c r="BX15" s="296">
        <v>100</v>
      </c>
      <c r="BZ15" s="245">
        <v>0</v>
      </c>
      <c r="CA15" s="245">
        <v>0</v>
      </c>
      <c r="CB15" s="245">
        <v>0</v>
      </c>
      <c r="CC15" s="245">
        <v>0</v>
      </c>
    </row>
    <row r="16" spans="1:81" ht="12.75" x14ac:dyDescent="0.2">
      <c r="A16" s="287">
        <v>10</v>
      </c>
      <c r="B16" s="288" t="s">
        <v>226</v>
      </c>
      <c r="D16" s="289"/>
      <c r="E16" s="290">
        <v>442608</v>
      </c>
      <c r="F16" s="291">
        <v>508245</v>
      </c>
      <c r="G16" s="291">
        <v>3262</v>
      </c>
      <c r="H16" s="291">
        <v>850</v>
      </c>
      <c r="I16" s="292">
        <v>954965</v>
      </c>
      <c r="J16" s="293">
        <v>29256</v>
      </c>
      <c r="K16" s="294">
        <v>39528</v>
      </c>
      <c r="L16" s="294">
        <v>423</v>
      </c>
      <c r="M16" s="294">
        <v>0</v>
      </c>
      <c r="N16" s="292">
        <v>69207</v>
      </c>
      <c r="O16" s="294">
        <v>37301</v>
      </c>
      <c r="P16" s="294">
        <v>37239</v>
      </c>
      <c r="Q16" s="294">
        <v>268</v>
      </c>
      <c r="R16" s="294">
        <v>0</v>
      </c>
      <c r="S16" s="292">
        <v>74808</v>
      </c>
      <c r="T16" s="293">
        <v>30158</v>
      </c>
      <c r="U16" s="294">
        <v>43295</v>
      </c>
      <c r="V16" s="294">
        <v>278</v>
      </c>
      <c r="W16" s="294">
        <v>0</v>
      </c>
      <c r="X16" s="292">
        <v>73731</v>
      </c>
      <c r="Y16" s="293">
        <v>33502</v>
      </c>
      <c r="Z16" s="294">
        <v>44814</v>
      </c>
      <c r="AA16" s="294">
        <v>611</v>
      </c>
      <c r="AB16" s="294">
        <v>0</v>
      </c>
      <c r="AC16" s="292">
        <v>78927</v>
      </c>
      <c r="AD16" s="293">
        <v>33117</v>
      </c>
      <c r="AE16" s="294">
        <v>41736</v>
      </c>
      <c r="AF16" s="294">
        <v>415</v>
      </c>
      <c r="AG16" s="294">
        <v>837</v>
      </c>
      <c r="AH16" s="292">
        <v>76105</v>
      </c>
      <c r="AI16" s="293">
        <v>32396</v>
      </c>
      <c r="AJ16" s="294">
        <v>44878</v>
      </c>
      <c r="AK16" s="294">
        <v>-499</v>
      </c>
      <c r="AL16" s="294">
        <v>-837</v>
      </c>
      <c r="AM16" s="292">
        <v>75938</v>
      </c>
      <c r="AN16" s="293">
        <v>33272</v>
      </c>
      <c r="AO16" s="294">
        <v>42872</v>
      </c>
      <c r="AP16" s="294">
        <v>524</v>
      </c>
      <c r="AQ16" s="294">
        <v>13</v>
      </c>
      <c r="AR16" s="292">
        <v>76681</v>
      </c>
      <c r="AS16" s="293">
        <v>31873</v>
      </c>
      <c r="AT16" s="294">
        <v>42105</v>
      </c>
      <c r="AU16" s="294">
        <v>188</v>
      </c>
      <c r="AV16" s="294">
        <v>0</v>
      </c>
      <c r="AW16" s="292">
        <v>74166</v>
      </c>
      <c r="AX16" s="293">
        <v>32575</v>
      </c>
      <c r="AY16" s="294">
        <v>44212</v>
      </c>
      <c r="AZ16" s="294">
        <v>102</v>
      </c>
      <c r="BA16" s="294">
        <v>0</v>
      </c>
      <c r="BB16" s="292">
        <v>76889</v>
      </c>
      <c r="BC16" s="293">
        <v>29100</v>
      </c>
      <c r="BD16" s="294">
        <v>38185</v>
      </c>
      <c r="BE16" s="294">
        <v>203</v>
      </c>
      <c r="BF16" s="294">
        <v>0</v>
      </c>
      <c r="BG16" s="292">
        <v>67488</v>
      </c>
      <c r="BH16" s="293">
        <v>41716</v>
      </c>
      <c r="BI16" s="294">
        <v>42916</v>
      </c>
      <c r="BJ16" s="294">
        <v>152</v>
      </c>
      <c r="BK16" s="294">
        <v>0</v>
      </c>
      <c r="BL16" s="292">
        <v>84784</v>
      </c>
      <c r="BM16" s="293">
        <v>78342</v>
      </c>
      <c r="BN16" s="294">
        <v>46465</v>
      </c>
      <c r="BO16" s="294">
        <v>597</v>
      </c>
      <c r="BP16" s="294">
        <v>837</v>
      </c>
      <c r="BQ16" s="292">
        <v>126241</v>
      </c>
      <c r="BR16" s="293">
        <v>442608</v>
      </c>
      <c r="BS16" s="291">
        <v>508245</v>
      </c>
      <c r="BT16" s="294">
        <v>3262</v>
      </c>
      <c r="BU16" s="294">
        <v>850</v>
      </c>
      <c r="BV16" s="293">
        <v>954965</v>
      </c>
      <c r="BW16" s="299"/>
      <c r="BX16" s="296">
        <v>100</v>
      </c>
      <c r="BZ16" s="245">
        <v>0</v>
      </c>
      <c r="CA16" s="245">
        <v>0</v>
      </c>
      <c r="CB16" s="245">
        <v>0</v>
      </c>
      <c r="CC16" s="245">
        <v>0</v>
      </c>
    </row>
    <row r="17" spans="1:81" ht="12.75" x14ac:dyDescent="0.2">
      <c r="A17" s="287">
        <v>11</v>
      </c>
      <c r="B17" s="262" t="s">
        <v>289</v>
      </c>
      <c r="D17" s="298"/>
      <c r="E17" s="290">
        <v>868386</v>
      </c>
      <c r="F17" s="291">
        <v>6874183</v>
      </c>
      <c r="G17" s="291">
        <v>17479</v>
      </c>
      <c r="H17" s="291">
        <v>166</v>
      </c>
      <c r="I17" s="292">
        <v>7760214</v>
      </c>
      <c r="J17" s="293">
        <v>56180</v>
      </c>
      <c r="K17" s="294">
        <v>1231312</v>
      </c>
      <c r="L17" s="294">
        <v>193</v>
      </c>
      <c r="M17" s="294">
        <v>0</v>
      </c>
      <c r="N17" s="292">
        <v>1287685</v>
      </c>
      <c r="O17" s="294">
        <v>64574</v>
      </c>
      <c r="P17" s="294">
        <v>156127</v>
      </c>
      <c r="Q17" s="294">
        <v>1403</v>
      </c>
      <c r="R17" s="294">
        <v>0</v>
      </c>
      <c r="S17" s="292">
        <v>222104</v>
      </c>
      <c r="T17" s="293">
        <v>98696</v>
      </c>
      <c r="U17" s="294">
        <v>394727</v>
      </c>
      <c r="V17" s="294">
        <v>2008</v>
      </c>
      <c r="W17" s="294">
        <v>0</v>
      </c>
      <c r="X17" s="292">
        <v>495431</v>
      </c>
      <c r="Y17" s="293">
        <v>65628</v>
      </c>
      <c r="Z17" s="294">
        <v>1057255</v>
      </c>
      <c r="AA17" s="294">
        <v>1220</v>
      </c>
      <c r="AB17" s="294">
        <v>0</v>
      </c>
      <c r="AC17" s="292">
        <v>1124103</v>
      </c>
      <c r="AD17" s="293">
        <v>78891</v>
      </c>
      <c r="AE17" s="294">
        <v>352032</v>
      </c>
      <c r="AF17" s="294">
        <v>5515</v>
      </c>
      <c r="AG17" s="294">
        <v>0</v>
      </c>
      <c r="AH17" s="292">
        <v>436438</v>
      </c>
      <c r="AI17" s="293">
        <v>64686</v>
      </c>
      <c r="AJ17" s="294">
        <v>145775</v>
      </c>
      <c r="AK17" s="294">
        <v>1304</v>
      </c>
      <c r="AL17" s="294">
        <v>0</v>
      </c>
      <c r="AM17" s="292">
        <v>211765</v>
      </c>
      <c r="AN17" s="293">
        <v>66095</v>
      </c>
      <c r="AO17" s="294">
        <v>1265207</v>
      </c>
      <c r="AP17" s="294">
        <v>2567</v>
      </c>
      <c r="AQ17" s="294">
        <v>0</v>
      </c>
      <c r="AR17" s="292">
        <v>1333869</v>
      </c>
      <c r="AS17" s="293">
        <v>81198</v>
      </c>
      <c r="AT17" s="294">
        <v>317409</v>
      </c>
      <c r="AU17" s="294">
        <v>780</v>
      </c>
      <c r="AV17" s="294">
        <v>0</v>
      </c>
      <c r="AW17" s="292">
        <v>399387</v>
      </c>
      <c r="AX17" s="293">
        <v>71138</v>
      </c>
      <c r="AY17" s="294">
        <v>133451</v>
      </c>
      <c r="AZ17" s="294">
        <v>293</v>
      </c>
      <c r="BA17" s="294">
        <v>0</v>
      </c>
      <c r="BB17" s="292">
        <v>204882</v>
      </c>
      <c r="BC17" s="293">
        <v>52811</v>
      </c>
      <c r="BD17" s="294">
        <v>1441993</v>
      </c>
      <c r="BE17" s="294">
        <v>359</v>
      </c>
      <c r="BF17" s="294">
        <v>0</v>
      </c>
      <c r="BG17" s="292">
        <v>1495163</v>
      </c>
      <c r="BH17" s="293">
        <v>74302</v>
      </c>
      <c r="BI17" s="294">
        <v>217933</v>
      </c>
      <c r="BJ17" s="294">
        <v>1049</v>
      </c>
      <c r="BK17" s="294">
        <v>0</v>
      </c>
      <c r="BL17" s="292">
        <v>293284</v>
      </c>
      <c r="BM17" s="293">
        <v>94187</v>
      </c>
      <c r="BN17" s="294">
        <v>160962</v>
      </c>
      <c r="BO17" s="294">
        <v>788</v>
      </c>
      <c r="BP17" s="294">
        <v>166</v>
      </c>
      <c r="BQ17" s="292">
        <v>256103</v>
      </c>
      <c r="BR17" s="293">
        <v>868386</v>
      </c>
      <c r="BS17" s="291">
        <v>6874183</v>
      </c>
      <c r="BT17" s="294">
        <v>17479</v>
      </c>
      <c r="BU17" s="294">
        <v>166</v>
      </c>
      <c r="BV17" s="293">
        <v>7760214</v>
      </c>
      <c r="BW17" s="299"/>
      <c r="BX17" s="296">
        <v>100</v>
      </c>
      <c r="BZ17" s="245">
        <v>0</v>
      </c>
      <c r="CA17" s="245">
        <v>0</v>
      </c>
      <c r="CB17" s="245">
        <v>0</v>
      </c>
      <c r="CC17" s="245">
        <v>0</v>
      </c>
    </row>
    <row r="18" spans="1:81" ht="12.75" x14ac:dyDescent="0.2">
      <c r="A18" s="287">
        <v>12</v>
      </c>
      <c r="B18" s="288" t="s">
        <v>229</v>
      </c>
      <c r="D18" s="300"/>
      <c r="E18" s="290">
        <v>2225953</v>
      </c>
      <c r="F18" s="291">
        <v>3272</v>
      </c>
      <c r="G18" s="291">
        <v>315599</v>
      </c>
      <c r="H18" s="291">
        <v>8638</v>
      </c>
      <c r="I18" s="292">
        <v>2553462</v>
      </c>
      <c r="J18" s="293">
        <v>144532</v>
      </c>
      <c r="K18" s="294">
        <v>75</v>
      </c>
      <c r="L18" s="294">
        <v>21611</v>
      </c>
      <c r="M18" s="294">
        <v>0</v>
      </c>
      <c r="N18" s="292">
        <v>166218</v>
      </c>
      <c r="O18" s="294">
        <v>170732</v>
      </c>
      <c r="P18" s="294">
        <v>4730</v>
      </c>
      <c r="Q18" s="294">
        <v>21913</v>
      </c>
      <c r="R18" s="294">
        <v>0</v>
      </c>
      <c r="S18" s="292">
        <v>197375</v>
      </c>
      <c r="T18" s="293">
        <v>169470</v>
      </c>
      <c r="U18" s="294">
        <v>-4219</v>
      </c>
      <c r="V18" s="294">
        <v>22083</v>
      </c>
      <c r="W18" s="294">
        <v>0</v>
      </c>
      <c r="X18" s="292">
        <v>187334</v>
      </c>
      <c r="Y18" s="293">
        <v>172504</v>
      </c>
      <c r="Z18" s="294">
        <v>43</v>
      </c>
      <c r="AA18" s="294">
        <v>21481</v>
      </c>
      <c r="AB18" s="294">
        <v>0</v>
      </c>
      <c r="AC18" s="292">
        <v>194028</v>
      </c>
      <c r="AD18" s="293">
        <v>172018</v>
      </c>
      <c r="AE18" s="294">
        <v>515</v>
      </c>
      <c r="AF18" s="294">
        <v>21655</v>
      </c>
      <c r="AG18" s="294">
        <v>0</v>
      </c>
      <c r="AH18" s="292">
        <v>194188</v>
      </c>
      <c r="AI18" s="293">
        <v>174780</v>
      </c>
      <c r="AJ18" s="294">
        <v>136</v>
      </c>
      <c r="AK18" s="294">
        <v>26745</v>
      </c>
      <c r="AL18" s="294">
        <v>0</v>
      </c>
      <c r="AM18" s="292">
        <v>201661</v>
      </c>
      <c r="AN18" s="293">
        <v>187413</v>
      </c>
      <c r="AO18" s="294">
        <v>723</v>
      </c>
      <c r="AP18" s="294">
        <v>17944</v>
      </c>
      <c r="AQ18" s="294">
        <v>0</v>
      </c>
      <c r="AR18" s="292">
        <v>206080</v>
      </c>
      <c r="AS18" s="293">
        <v>180304</v>
      </c>
      <c r="AT18" s="294">
        <v>158</v>
      </c>
      <c r="AU18" s="294">
        <v>21921</v>
      </c>
      <c r="AV18" s="294">
        <v>0</v>
      </c>
      <c r="AW18" s="292">
        <v>202383</v>
      </c>
      <c r="AX18" s="293">
        <v>204958</v>
      </c>
      <c r="AY18" s="294">
        <v>261</v>
      </c>
      <c r="AZ18" s="294">
        <v>23227</v>
      </c>
      <c r="BA18" s="294">
        <v>0</v>
      </c>
      <c r="BB18" s="292">
        <v>228446</v>
      </c>
      <c r="BC18" s="293">
        <v>161062</v>
      </c>
      <c r="BD18" s="294">
        <v>102</v>
      </c>
      <c r="BE18" s="294">
        <v>23133</v>
      </c>
      <c r="BF18" s="294">
        <v>0</v>
      </c>
      <c r="BG18" s="292">
        <v>184297</v>
      </c>
      <c r="BH18" s="293">
        <v>191480</v>
      </c>
      <c r="BI18" s="294">
        <v>1973</v>
      </c>
      <c r="BJ18" s="294">
        <v>23672</v>
      </c>
      <c r="BK18" s="294">
        <v>0</v>
      </c>
      <c r="BL18" s="292">
        <v>217125</v>
      </c>
      <c r="BM18" s="293">
        <v>296700</v>
      </c>
      <c r="BN18" s="294">
        <v>-1225</v>
      </c>
      <c r="BO18" s="294">
        <v>70214</v>
      </c>
      <c r="BP18" s="294">
        <v>8638</v>
      </c>
      <c r="BQ18" s="292">
        <v>374327</v>
      </c>
      <c r="BR18" s="293">
        <v>2225953</v>
      </c>
      <c r="BS18" s="291">
        <v>3272</v>
      </c>
      <c r="BT18" s="294">
        <v>315599</v>
      </c>
      <c r="BU18" s="294">
        <v>8638</v>
      </c>
      <c r="BV18" s="293">
        <v>2553462</v>
      </c>
      <c r="BW18" s="299"/>
      <c r="BX18" s="296">
        <v>100</v>
      </c>
      <c r="BY18" s="294"/>
      <c r="BZ18" s="245">
        <v>0</v>
      </c>
      <c r="CA18" s="245">
        <v>0</v>
      </c>
      <c r="CB18" s="245">
        <v>0</v>
      </c>
      <c r="CC18" s="245">
        <v>0</v>
      </c>
    </row>
    <row r="19" spans="1:81" ht="12.75" x14ac:dyDescent="0.2">
      <c r="A19" s="287">
        <v>13</v>
      </c>
      <c r="B19" s="262" t="s">
        <v>290</v>
      </c>
      <c r="D19" s="289"/>
      <c r="E19" s="290">
        <v>151157</v>
      </c>
      <c r="F19" s="291">
        <v>87146</v>
      </c>
      <c r="G19" s="291">
        <v>2704</v>
      </c>
      <c r="H19" s="291">
        <v>381</v>
      </c>
      <c r="I19" s="292">
        <v>241388</v>
      </c>
      <c r="J19" s="293">
        <v>12411</v>
      </c>
      <c r="K19" s="294">
        <v>7099</v>
      </c>
      <c r="L19" s="294">
        <v>38</v>
      </c>
      <c r="M19" s="294">
        <v>0</v>
      </c>
      <c r="N19" s="292">
        <v>19548</v>
      </c>
      <c r="O19" s="294">
        <v>11788</v>
      </c>
      <c r="P19" s="294">
        <v>7098</v>
      </c>
      <c r="Q19" s="294">
        <v>20</v>
      </c>
      <c r="R19" s="294">
        <v>0</v>
      </c>
      <c r="S19" s="292">
        <v>18906</v>
      </c>
      <c r="T19" s="293">
        <v>14919</v>
      </c>
      <c r="U19" s="294">
        <v>7404</v>
      </c>
      <c r="V19" s="294">
        <v>41</v>
      </c>
      <c r="W19" s="294">
        <v>0</v>
      </c>
      <c r="X19" s="292">
        <v>22364</v>
      </c>
      <c r="Y19" s="293">
        <v>11162</v>
      </c>
      <c r="Z19" s="294">
        <v>8233</v>
      </c>
      <c r="AA19" s="294">
        <v>116</v>
      </c>
      <c r="AB19" s="294">
        <v>0</v>
      </c>
      <c r="AC19" s="292">
        <v>19511</v>
      </c>
      <c r="AD19" s="293">
        <v>12774</v>
      </c>
      <c r="AE19" s="294">
        <v>7131</v>
      </c>
      <c r="AF19" s="294">
        <v>480</v>
      </c>
      <c r="AG19" s="294">
        <v>0</v>
      </c>
      <c r="AH19" s="292">
        <v>20385</v>
      </c>
      <c r="AI19" s="293">
        <v>11630</v>
      </c>
      <c r="AJ19" s="294">
        <v>7098</v>
      </c>
      <c r="AK19" s="294">
        <v>19</v>
      </c>
      <c r="AL19" s="294">
        <v>0</v>
      </c>
      <c r="AM19" s="292">
        <v>18747</v>
      </c>
      <c r="AN19" s="293">
        <v>14968</v>
      </c>
      <c r="AO19" s="294">
        <v>7099</v>
      </c>
      <c r="AP19" s="294">
        <v>282</v>
      </c>
      <c r="AQ19" s="294">
        <v>0</v>
      </c>
      <c r="AR19" s="292">
        <v>22349</v>
      </c>
      <c r="AS19" s="293">
        <v>16211</v>
      </c>
      <c r="AT19" s="294">
        <v>7419</v>
      </c>
      <c r="AU19" s="294">
        <v>264</v>
      </c>
      <c r="AV19" s="294">
        <v>0</v>
      </c>
      <c r="AW19" s="292">
        <v>23894</v>
      </c>
      <c r="AX19" s="293">
        <v>11518</v>
      </c>
      <c r="AY19" s="294">
        <v>7098</v>
      </c>
      <c r="AZ19" s="294">
        <v>18</v>
      </c>
      <c r="BA19" s="294">
        <v>0</v>
      </c>
      <c r="BB19" s="292">
        <v>18634</v>
      </c>
      <c r="BC19" s="293">
        <v>11049</v>
      </c>
      <c r="BD19" s="294">
        <v>7270</v>
      </c>
      <c r="BE19" s="294">
        <v>677</v>
      </c>
      <c r="BF19" s="294">
        <v>0</v>
      </c>
      <c r="BG19" s="292">
        <v>18996</v>
      </c>
      <c r="BH19" s="293">
        <v>10139</v>
      </c>
      <c r="BI19" s="294">
        <v>7099</v>
      </c>
      <c r="BJ19" s="294">
        <v>7</v>
      </c>
      <c r="BK19" s="294">
        <v>381</v>
      </c>
      <c r="BL19" s="292">
        <v>17626</v>
      </c>
      <c r="BM19" s="293">
        <v>12588</v>
      </c>
      <c r="BN19" s="294">
        <v>7098</v>
      </c>
      <c r="BO19" s="294">
        <v>742</v>
      </c>
      <c r="BP19" s="294">
        <v>0</v>
      </c>
      <c r="BQ19" s="292">
        <v>20428</v>
      </c>
      <c r="BR19" s="293">
        <v>151157</v>
      </c>
      <c r="BS19" s="291">
        <v>87146</v>
      </c>
      <c r="BT19" s="294">
        <v>2704</v>
      </c>
      <c r="BU19" s="294">
        <v>381</v>
      </c>
      <c r="BV19" s="293">
        <v>241388</v>
      </c>
      <c r="BW19" s="299"/>
      <c r="BX19" s="296">
        <v>100</v>
      </c>
      <c r="BZ19" s="245">
        <v>0</v>
      </c>
      <c r="CA19" s="245">
        <v>0</v>
      </c>
      <c r="CB19" s="245">
        <v>0</v>
      </c>
      <c r="CC19" s="245">
        <v>0</v>
      </c>
    </row>
    <row r="20" spans="1:81" ht="12.75" x14ac:dyDescent="0.2">
      <c r="A20" s="287">
        <v>14</v>
      </c>
      <c r="B20" s="288" t="s">
        <v>231</v>
      </c>
      <c r="D20" s="289"/>
      <c r="E20" s="290">
        <v>2528199</v>
      </c>
      <c r="F20" s="291">
        <v>20110535</v>
      </c>
      <c r="G20" s="291">
        <v>1212589</v>
      </c>
      <c r="H20" s="291">
        <v>240</v>
      </c>
      <c r="I20" s="292">
        <v>23851563</v>
      </c>
      <c r="J20" s="293">
        <v>79776</v>
      </c>
      <c r="K20" s="294">
        <v>3234436</v>
      </c>
      <c r="L20" s="294">
        <v>7750</v>
      </c>
      <c r="M20" s="294">
        <v>180</v>
      </c>
      <c r="N20" s="292">
        <v>3322142</v>
      </c>
      <c r="O20" s="294">
        <v>83503</v>
      </c>
      <c r="P20" s="294">
        <v>3983819</v>
      </c>
      <c r="Q20" s="294">
        <v>69221</v>
      </c>
      <c r="R20" s="294">
        <v>5</v>
      </c>
      <c r="S20" s="292">
        <v>4136548</v>
      </c>
      <c r="T20" s="293">
        <v>93693</v>
      </c>
      <c r="U20" s="294">
        <v>690231</v>
      </c>
      <c r="V20" s="294">
        <v>65939</v>
      </c>
      <c r="W20" s="294">
        <v>1</v>
      </c>
      <c r="X20" s="292">
        <v>849864</v>
      </c>
      <c r="Y20" s="293">
        <v>133545</v>
      </c>
      <c r="Z20" s="294">
        <v>1403599</v>
      </c>
      <c r="AA20" s="294">
        <v>81075</v>
      </c>
      <c r="AB20" s="294">
        <v>0</v>
      </c>
      <c r="AC20" s="292">
        <v>1618219</v>
      </c>
      <c r="AD20" s="293">
        <v>495369</v>
      </c>
      <c r="AE20" s="294">
        <v>2653655</v>
      </c>
      <c r="AF20" s="294">
        <v>212268</v>
      </c>
      <c r="AG20" s="294">
        <v>0</v>
      </c>
      <c r="AH20" s="292">
        <v>3361292</v>
      </c>
      <c r="AI20" s="293">
        <v>133519</v>
      </c>
      <c r="AJ20" s="294">
        <v>781681</v>
      </c>
      <c r="AK20" s="294">
        <v>113406</v>
      </c>
      <c r="AL20" s="294">
        <v>0</v>
      </c>
      <c r="AM20" s="292">
        <v>1028606</v>
      </c>
      <c r="AN20" s="293">
        <v>136997</v>
      </c>
      <c r="AO20" s="294">
        <v>1212127</v>
      </c>
      <c r="AP20" s="294">
        <v>75971</v>
      </c>
      <c r="AQ20" s="294">
        <v>7</v>
      </c>
      <c r="AR20" s="292">
        <v>1425102</v>
      </c>
      <c r="AS20" s="293">
        <v>566643</v>
      </c>
      <c r="AT20" s="294">
        <v>1929063</v>
      </c>
      <c r="AU20" s="294">
        <v>67182</v>
      </c>
      <c r="AV20" s="294">
        <v>41</v>
      </c>
      <c r="AW20" s="292">
        <v>2562929</v>
      </c>
      <c r="AX20" s="293">
        <v>225581</v>
      </c>
      <c r="AY20" s="294">
        <v>581299</v>
      </c>
      <c r="AZ20" s="294">
        <v>156757</v>
      </c>
      <c r="BA20" s="294">
        <v>2</v>
      </c>
      <c r="BB20" s="292">
        <v>963639</v>
      </c>
      <c r="BC20" s="293">
        <v>154667</v>
      </c>
      <c r="BD20" s="294">
        <v>3009243</v>
      </c>
      <c r="BE20" s="294">
        <v>113434</v>
      </c>
      <c r="BF20" s="294">
        <v>3</v>
      </c>
      <c r="BG20" s="292">
        <v>3277347</v>
      </c>
      <c r="BH20" s="293">
        <v>174009</v>
      </c>
      <c r="BI20" s="294">
        <v>45615</v>
      </c>
      <c r="BJ20" s="294">
        <v>46301</v>
      </c>
      <c r="BK20" s="294">
        <v>0</v>
      </c>
      <c r="BL20" s="292">
        <v>265925</v>
      </c>
      <c r="BM20" s="293">
        <v>250897</v>
      </c>
      <c r="BN20" s="294">
        <v>585767</v>
      </c>
      <c r="BO20" s="294">
        <v>203285</v>
      </c>
      <c r="BP20" s="294">
        <v>1</v>
      </c>
      <c r="BQ20" s="292">
        <v>1039950</v>
      </c>
      <c r="BR20" s="293">
        <v>2528199</v>
      </c>
      <c r="BS20" s="291">
        <v>20110535</v>
      </c>
      <c r="BT20" s="294">
        <v>1212589</v>
      </c>
      <c r="BU20" s="294">
        <v>240</v>
      </c>
      <c r="BV20" s="293">
        <v>23851563</v>
      </c>
      <c r="BW20" s="299"/>
      <c r="BX20" s="296">
        <v>100</v>
      </c>
      <c r="BY20" s="245"/>
      <c r="BZ20" s="245">
        <v>0</v>
      </c>
      <c r="CA20" s="245">
        <v>0</v>
      </c>
      <c r="CB20" s="245">
        <v>0</v>
      </c>
      <c r="CC20" s="245">
        <v>0</v>
      </c>
    </row>
    <row r="21" spans="1:81" ht="12.75" x14ac:dyDescent="0.2">
      <c r="A21" s="287">
        <v>15</v>
      </c>
      <c r="B21" s="288" t="s">
        <v>232</v>
      </c>
      <c r="D21" s="300"/>
      <c r="E21" s="290">
        <v>9909400</v>
      </c>
      <c r="F21" s="291">
        <v>78893467</v>
      </c>
      <c r="G21" s="291">
        <v>7926</v>
      </c>
      <c r="H21" s="291">
        <v>1661</v>
      </c>
      <c r="I21" s="292">
        <v>88812454</v>
      </c>
      <c r="J21" s="293">
        <v>762757</v>
      </c>
      <c r="K21" s="294">
        <v>19038631</v>
      </c>
      <c r="L21" s="294">
        <v>780</v>
      </c>
      <c r="M21" s="294">
        <v>1</v>
      </c>
      <c r="N21" s="292">
        <v>19802169</v>
      </c>
      <c r="O21" s="294">
        <v>715486</v>
      </c>
      <c r="P21" s="294">
        <v>8936316</v>
      </c>
      <c r="Q21" s="294">
        <v>248</v>
      </c>
      <c r="R21" s="294">
        <v>1</v>
      </c>
      <c r="S21" s="292">
        <v>9652051</v>
      </c>
      <c r="T21" s="293">
        <v>775576</v>
      </c>
      <c r="U21" s="294">
        <v>10765997</v>
      </c>
      <c r="V21" s="294">
        <v>132</v>
      </c>
      <c r="W21" s="294">
        <v>0</v>
      </c>
      <c r="X21" s="292">
        <v>11541705</v>
      </c>
      <c r="Y21" s="293">
        <v>760051</v>
      </c>
      <c r="Z21" s="294">
        <v>4154468</v>
      </c>
      <c r="AA21" s="294">
        <v>426</v>
      </c>
      <c r="AB21" s="294">
        <v>3</v>
      </c>
      <c r="AC21" s="292">
        <v>4914948</v>
      </c>
      <c r="AD21" s="293">
        <v>797538</v>
      </c>
      <c r="AE21" s="294">
        <v>11187843</v>
      </c>
      <c r="AF21" s="294">
        <v>381</v>
      </c>
      <c r="AG21" s="294">
        <v>0</v>
      </c>
      <c r="AH21" s="292">
        <v>11985762</v>
      </c>
      <c r="AI21" s="293">
        <v>844326</v>
      </c>
      <c r="AJ21" s="294">
        <v>4765797</v>
      </c>
      <c r="AK21" s="294">
        <v>96</v>
      </c>
      <c r="AL21" s="294">
        <v>0</v>
      </c>
      <c r="AM21" s="292">
        <v>5610219</v>
      </c>
      <c r="AN21" s="293">
        <v>790057</v>
      </c>
      <c r="AO21" s="294">
        <v>11882605</v>
      </c>
      <c r="AP21" s="294">
        <v>3002</v>
      </c>
      <c r="AQ21" s="294">
        <v>0</v>
      </c>
      <c r="AR21" s="292">
        <v>12675664</v>
      </c>
      <c r="AS21" s="293">
        <v>855423</v>
      </c>
      <c r="AT21" s="294">
        <v>2992682</v>
      </c>
      <c r="AU21" s="294">
        <v>194</v>
      </c>
      <c r="AV21" s="294">
        <v>0</v>
      </c>
      <c r="AW21" s="292">
        <v>3848299</v>
      </c>
      <c r="AX21" s="293">
        <v>798931</v>
      </c>
      <c r="AY21" s="294">
        <v>201864</v>
      </c>
      <c r="AZ21" s="294">
        <v>255</v>
      </c>
      <c r="BA21" s="294">
        <v>0</v>
      </c>
      <c r="BB21" s="292">
        <v>1001050</v>
      </c>
      <c r="BC21" s="293">
        <v>744629</v>
      </c>
      <c r="BD21" s="294">
        <v>1425649</v>
      </c>
      <c r="BE21" s="294">
        <v>150</v>
      </c>
      <c r="BF21" s="294">
        <v>0</v>
      </c>
      <c r="BG21" s="292">
        <v>2170428</v>
      </c>
      <c r="BH21" s="293">
        <v>857856</v>
      </c>
      <c r="BI21" s="294">
        <v>1352010</v>
      </c>
      <c r="BJ21" s="294">
        <v>736</v>
      </c>
      <c r="BK21" s="294">
        <v>0</v>
      </c>
      <c r="BL21" s="292">
        <v>2210602</v>
      </c>
      <c r="BM21" s="293">
        <v>1206770</v>
      </c>
      <c r="BN21" s="294">
        <v>2189605</v>
      </c>
      <c r="BO21" s="294">
        <v>1526</v>
      </c>
      <c r="BP21" s="294">
        <v>1656</v>
      </c>
      <c r="BQ21" s="292">
        <v>3399557</v>
      </c>
      <c r="BR21" s="293">
        <v>9909400</v>
      </c>
      <c r="BS21" s="291">
        <v>78893467</v>
      </c>
      <c r="BT21" s="294">
        <v>7926</v>
      </c>
      <c r="BU21" s="294">
        <v>1661</v>
      </c>
      <c r="BV21" s="293">
        <v>88812454</v>
      </c>
      <c r="BW21" s="299"/>
      <c r="BX21" s="296">
        <v>100</v>
      </c>
      <c r="BY21" s="245"/>
      <c r="BZ21" s="245">
        <v>0</v>
      </c>
      <c r="CA21" s="245">
        <v>0</v>
      </c>
      <c r="CB21" s="245">
        <v>0</v>
      </c>
      <c r="CC21" s="245">
        <v>0</v>
      </c>
    </row>
    <row r="22" spans="1:81" ht="12.75" x14ac:dyDescent="0.2">
      <c r="A22" s="287">
        <v>16</v>
      </c>
      <c r="B22" s="288" t="s">
        <v>233</v>
      </c>
      <c r="D22" s="289"/>
      <c r="E22" s="290">
        <v>2114769</v>
      </c>
      <c r="F22" s="291">
        <v>47863455</v>
      </c>
      <c r="G22" s="291">
        <v>794547</v>
      </c>
      <c r="H22" s="291">
        <v>0</v>
      </c>
      <c r="I22" s="292">
        <v>50772771</v>
      </c>
      <c r="J22" s="293">
        <v>97182</v>
      </c>
      <c r="K22" s="294">
        <v>5527538</v>
      </c>
      <c r="L22" s="294">
        <v>1585</v>
      </c>
      <c r="M22" s="294">
        <v>0</v>
      </c>
      <c r="N22" s="292">
        <v>5626305</v>
      </c>
      <c r="O22" s="294">
        <v>111121</v>
      </c>
      <c r="P22" s="294">
        <v>3249197</v>
      </c>
      <c r="Q22" s="294">
        <v>14590</v>
      </c>
      <c r="R22" s="294">
        <v>0</v>
      </c>
      <c r="S22" s="292">
        <v>3374908</v>
      </c>
      <c r="T22" s="293">
        <v>130668</v>
      </c>
      <c r="U22" s="294">
        <v>3289852</v>
      </c>
      <c r="V22" s="294">
        <v>53737</v>
      </c>
      <c r="W22" s="294">
        <v>0</v>
      </c>
      <c r="X22" s="292">
        <v>3474257</v>
      </c>
      <c r="Y22" s="293">
        <v>174782</v>
      </c>
      <c r="Z22" s="294">
        <v>5294934</v>
      </c>
      <c r="AA22" s="294">
        <v>77787</v>
      </c>
      <c r="AB22" s="294">
        <v>0</v>
      </c>
      <c r="AC22" s="292">
        <v>5547503</v>
      </c>
      <c r="AD22" s="293">
        <v>158079</v>
      </c>
      <c r="AE22" s="294">
        <v>3248753</v>
      </c>
      <c r="AF22" s="294">
        <v>64015</v>
      </c>
      <c r="AG22" s="294">
        <v>0</v>
      </c>
      <c r="AH22" s="292">
        <v>3470847</v>
      </c>
      <c r="AI22" s="293">
        <v>207339</v>
      </c>
      <c r="AJ22" s="294">
        <v>3267348</v>
      </c>
      <c r="AK22" s="294">
        <v>28763</v>
      </c>
      <c r="AL22" s="294">
        <v>0</v>
      </c>
      <c r="AM22" s="292">
        <v>3503450</v>
      </c>
      <c r="AN22" s="293">
        <v>139336</v>
      </c>
      <c r="AO22" s="294">
        <v>5290237</v>
      </c>
      <c r="AP22" s="294">
        <v>87604</v>
      </c>
      <c r="AQ22" s="294">
        <v>0</v>
      </c>
      <c r="AR22" s="292">
        <v>5517177</v>
      </c>
      <c r="AS22" s="293">
        <v>188159</v>
      </c>
      <c r="AT22" s="294">
        <v>3254104</v>
      </c>
      <c r="AU22" s="294">
        <v>58013</v>
      </c>
      <c r="AV22" s="294">
        <v>0</v>
      </c>
      <c r="AW22" s="292">
        <v>3500276</v>
      </c>
      <c r="AX22" s="293">
        <v>163240</v>
      </c>
      <c r="AY22" s="294">
        <v>3261642</v>
      </c>
      <c r="AZ22" s="294">
        <v>72205</v>
      </c>
      <c r="BA22" s="294">
        <v>0</v>
      </c>
      <c r="BB22" s="292">
        <v>3497087</v>
      </c>
      <c r="BC22" s="293">
        <v>164854</v>
      </c>
      <c r="BD22" s="294">
        <v>5057839</v>
      </c>
      <c r="BE22" s="294">
        <v>89935</v>
      </c>
      <c r="BF22" s="294">
        <v>0</v>
      </c>
      <c r="BG22" s="292">
        <v>5312628</v>
      </c>
      <c r="BH22" s="293">
        <v>179428</v>
      </c>
      <c r="BI22" s="294">
        <v>3742852</v>
      </c>
      <c r="BJ22" s="294">
        <v>89180</v>
      </c>
      <c r="BK22" s="294">
        <v>0</v>
      </c>
      <c r="BL22" s="292">
        <v>4011460</v>
      </c>
      <c r="BM22" s="293">
        <v>400581</v>
      </c>
      <c r="BN22" s="294">
        <v>3379159</v>
      </c>
      <c r="BO22" s="294">
        <v>157133</v>
      </c>
      <c r="BP22" s="294">
        <v>0</v>
      </c>
      <c r="BQ22" s="292">
        <v>3936873</v>
      </c>
      <c r="BR22" s="293">
        <v>2114769</v>
      </c>
      <c r="BS22" s="291">
        <v>47863455</v>
      </c>
      <c r="BT22" s="294">
        <v>794547</v>
      </c>
      <c r="BU22" s="294">
        <v>0</v>
      </c>
      <c r="BV22" s="293">
        <v>50772771</v>
      </c>
      <c r="BW22" s="299"/>
      <c r="BX22" s="296">
        <v>100</v>
      </c>
      <c r="BZ22" s="245">
        <v>0</v>
      </c>
      <c r="CA22" s="245">
        <v>0</v>
      </c>
      <c r="CB22" s="245">
        <v>0</v>
      </c>
      <c r="CC22" s="245">
        <v>0</v>
      </c>
    </row>
    <row r="23" spans="1:81" ht="12.75" x14ac:dyDescent="0.2">
      <c r="A23" s="302">
        <v>17</v>
      </c>
      <c r="B23" s="303" t="s">
        <v>234</v>
      </c>
      <c r="D23" s="308"/>
      <c r="E23" s="290">
        <v>902874</v>
      </c>
      <c r="F23" s="291">
        <v>198571699</v>
      </c>
      <c r="G23" s="291">
        <v>7264</v>
      </c>
      <c r="H23" s="291">
        <v>248539</v>
      </c>
      <c r="I23" s="292">
        <v>199730376</v>
      </c>
      <c r="J23" s="293">
        <v>52234</v>
      </c>
      <c r="K23" s="294">
        <v>14985759</v>
      </c>
      <c r="L23" s="294">
        <v>131</v>
      </c>
      <c r="M23" s="294">
        <v>0</v>
      </c>
      <c r="N23" s="292">
        <v>15038124</v>
      </c>
      <c r="O23" s="294">
        <v>55199</v>
      </c>
      <c r="P23" s="294">
        <v>15008444</v>
      </c>
      <c r="Q23" s="294">
        <v>215</v>
      </c>
      <c r="R23" s="294">
        <v>0</v>
      </c>
      <c r="S23" s="292">
        <v>15063858</v>
      </c>
      <c r="T23" s="293">
        <v>71414</v>
      </c>
      <c r="U23" s="294">
        <v>14567398</v>
      </c>
      <c r="V23" s="294">
        <v>117</v>
      </c>
      <c r="W23" s="294">
        <v>0</v>
      </c>
      <c r="X23" s="292">
        <v>14638929</v>
      </c>
      <c r="Y23" s="293">
        <v>71573</v>
      </c>
      <c r="Z23" s="294">
        <v>15807991</v>
      </c>
      <c r="AA23" s="294">
        <v>328</v>
      </c>
      <c r="AB23" s="294">
        <v>0</v>
      </c>
      <c r="AC23" s="292">
        <v>15879892</v>
      </c>
      <c r="AD23" s="293">
        <v>68321</v>
      </c>
      <c r="AE23" s="294">
        <v>15130117</v>
      </c>
      <c r="AF23" s="294">
        <v>241</v>
      </c>
      <c r="AG23" s="294">
        <v>0</v>
      </c>
      <c r="AH23" s="292">
        <v>15198679</v>
      </c>
      <c r="AI23" s="293">
        <v>62641</v>
      </c>
      <c r="AJ23" s="294">
        <v>15194011</v>
      </c>
      <c r="AK23" s="294">
        <v>623</v>
      </c>
      <c r="AL23" s="294">
        <v>0</v>
      </c>
      <c r="AM23" s="292">
        <v>15257275</v>
      </c>
      <c r="AN23" s="293">
        <v>66836</v>
      </c>
      <c r="AO23" s="294">
        <v>15440254</v>
      </c>
      <c r="AP23" s="294">
        <v>452</v>
      </c>
      <c r="AQ23" s="294">
        <v>0</v>
      </c>
      <c r="AR23" s="292">
        <v>15507542</v>
      </c>
      <c r="AS23" s="293">
        <v>69086</v>
      </c>
      <c r="AT23" s="294">
        <v>15536262</v>
      </c>
      <c r="AU23" s="294">
        <v>292</v>
      </c>
      <c r="AV23" s="294">
        <v>0</v>
      </c>
      <c r="AW23" s="292">
        <v>15605640</v>
      </c>
      <c r="AX23" s="293">
        <v>87995</v>
      </c>
      <c r="AY23" s="294">
        <v>15357143</v>
      </c>
      <c r="AZ23" s="294">
        <v>226</v>
      </c>
      <c r="BA23" s="294">
        <v>0</v>
      </c>
      <c r="BB23" s="292">
        <v>15445364</v>
      </c>
      <c r="BC23" s="293">
        <v>71019</v>
      </c>
      <c r="BD23" s="294">
        <v>15488068</v>
      </c>
      <c r="BE23" s="294">
        <v>853</v>
      </c>
      <c r="BF23" s="294">
        <v>0</v>
      </c>
      <c r="BG23" s="292">
        <v>15559940</v>
      </c>
      <c r="BH23" s="293">
        <v>72393</v>
      </c>
      <c r="BI23" s="294">
        <v>15180681</v>
      </c>
      <c r="BJ23" s="294">
        <v>5584</v>
      </c>
      <c r="BK23" s="294">
        <v>0</v>
      </c>
      <c r="BL23" s="292">
        <v>15258658</v>
      </c>
      <c r="BM23" s="293">
        <v>154163</v>
      </c>
      <c r="BN23" s="294">
        <v>30875571</v>
      </c>
      <c r="BO23" s="294">
        <v>-1798</v>
      </c>
      <c r="BP23" s="294">
        <v>248539</v>
      </c>
      <c r="BQ23" s="292">
        <v>31276475</v>
      </c>
      <c r="BR23" s="293">
        <v>902874</v>
      </c>
      <c r="BS23" s="291">
        <v>198571699</v>
      </c>
      <c r="BT23" s="294">
        <v>7264</v>
      </c>
      <c r="BU23" s="294">
        <v>248539</v>
      </c>
      <c r="BV23" s="293">
        <v>199730376</v>
      </c>
      <c r="BW23" s="299"/>
      <c r="BX23" s="296">
        <v>100</v>
      </c>
      <c r="BZ23" s="245">
        <v>0</v>
      </c>
      <c r="CA23" s="245">
        <v>0</v>
      </c>
      <c r="CB23" s="245">
        <v>0</v>
      </c>
      <c r="CC23" s="245">
        <v>0</v>
      </c>
    </row>
    <row r="24" spans="1:81" ht="12.75" x14ac:dyDescent="0.2">
      <c r="A24" s="287">
        <v>18</v>
      </c>
      <c r="B24" s="288" t="s">
        <v>237</v>
      </c>
      <c r="D24" s="289"/>
      <c r="E24" s="290">
        <v>23783415</v>
      </c>
      <c r="F24" s="291">
        <v>877957</v>
      </c>
      <c r="G24" s="291">
        <v>515439</v>
      </c>
      <c r="H24" s="291">
        <v>9335</v>
      </c>
      <c r="I24" s="292">
        <v>25186146</v>
      </c>
      <c r="J24" s="293">
        <v>1539111</v>
      </c>
      <c r="K24" s="294">
        <v>44796</v>
      </c>
      <c r="L24" s="294">
        <v>31904</v>
      </c>
      <c r="M24" s="294">
        <v>599</v>
      </c>
      <c r="N24" s="292">
        <v>1616410</v>
      </c>
      <c r="O24" s="294">
        <v>1840776</v>
      </c>
      <c r="P24" s="294">
        <v>49396</v>
      </c>
      <c r="Q24" s="294">
        <v>4802</v>
      </c>
      <c r="R24" s="294">
        <v>0</v>
      </c>
      <c r="S24" s="292">
        <v>1894974</v>
      </c>
      <c r="T24" s="293">
        <v>1748453</v>
      </c>
      <c r="U24" s="294">
        <v>9065</v>
      </c>
      <c r="V24" s="294">
        <v>14344</v>
      </c>
      <c r="W24" s="294">
        <v>-599</v>
      </c>
      <c r="X24" s="292">
        <v>1771263</v>
      </c>
      <c r="Y24" s="293">
        <v>1738280</v>
      </c>
      <c r="Z24" s="294">
        <v>52855</v>
      </c>
      <c r="AA24" s="294">
        <v>7422</v>
      </c>
      <c r="AB24" s="294">
        <v>0</v>
      </c>
      <c r="AC24" s="292">
        <v>1798557</v>
      </c>
      <c r="AD24" s="293">
        <v>1929944</v>
      </c>
      <c r="AE24" s="294">
        <v>86830</v>
      </c>
      <c r="AF24" s="294">
        <v>22188</v>
      </c>
      <c r="AG24" s="294">
        <v>0</v>
      </c>
      <c r="AH24" s="292">
        <v>2038962</v>
      </c>
      <c r="AI24" s="293">
        <v>2156686</v>
      </c>
      <c r="AJ24" s="294">
        <v>46091</v>
      </c>
      <c r="AK24" s="294">
        <v>61013</v>
      </c>
      <c r="AL24" s="294">
        <v>0</v>
      </c>
      <c r="AM24" s="292">
        <v>2263790</v>
      </c>
      <c r="AN24" s="293">
        <v>1959084</v>
      </c>
      <c r="AO24" s="294">
        <v>54195</v>
      </c>
      <c r="AP24" s="294">
        <v>-26875</v>
      </c>
      <c r="AQ24" s="294">
        <v>0</v>
      </c>
      <c r="AR24" s="292">
        <v>1986404</v>
      </c>
      <c r="AS24" s="293">
        <v>2158851</v>
      </c>
      <c r="AT24" s="294">
        <v>12826</v>
      </c>
      <c r="AU24" s="294">
        <v>23394</v>
      </c>
      <c r="AV24" s="294">
        <v>0</v>
      </c>
      <c r="AW24" s="292">
        <v>2195071</v>
      </c>
      <c r="AX24" s="293">
        <v>1927133</v>
      </c>
      <c r="AY24" s="294">
        <v>81830</v>
      </c>
      <c r="AZ24" s="294">
        <v>221099</v>
      </c>
      <c r="BA24" s="294">
        <v>0</v>
      </c>
      <c r="BB24" s="292">
        <v>2230062</v>
      </c>
      <c r="BC24" s="293">
        <v>1836620</v>
      </c>
      <c r="BD24" s="294">
        <v>52822</v>
      </c>
      <c r="BE24" s="294">
        <v>-9546</v>
      </c>
      <c r="BF24" s="294">
        <v>0</v>
      </c>
      <c r="BG24" s="292">
        <v>1879896</v>
      </c>
      <c r="BH24" s="293">
        <v>2054316</v>
      </c>
      <c r="BI24" s="294">
        <v>80777</v>
      </c>
      <c r="BJ24" s="294">
        <v>66282</v>
      </c>
      <c r="BK24" s="294">
        <v>0</v>
      </c>
      <c r="BL24" s="292">
        <v>2201375</v>
      </c>
      <c r="BM24" s="293">
        <v>2894161</v>
      </c>
      <c r="BN24" s="294">
        <v>306474</v>
      </c>
      <c r="BO24" s="294">
        <v>99412</v>
      </c>
      <c r="BP24" s="294">
        <v>9335</v>
      </c>
      <c r="BQ24" s="292">
        <v>3309382</v>
      </c>
      <c r="BR24" s="293">
        <v>23783415</v>
      </c>
      <c r="BS24" s="291">
        <v>877957</v>
      </c>
      <c r="BT24" s="294">
        <v>515439</v>
      </c>
      <c r="BU24" s="294">
        <v>9335</v>
      </c>
      <c r="BV24" s="293">
        <v>25186146</v>
      </c>
      <c r="BW24" s="299"/>
      <c r="BX24" s="296">
        <v>100</v>
      </c>
      <c r="BZ24" s="245">
        <v>0</v>
      </c>
      <c r="CA24" s="245">
        <v>0</v>
      </c>
      <c r="CB24" s="245">
        <v>0</v>
      </c>
      <c r="CC24" s="245">
        <v>0</v>
      </c>
    </row>
    <row r="25" spans="1:81" ht="12.75" x14ac:dyDescent="0.2">
      <c r="A25" s="287">
        <v>19</v>
      </c>
      <c r="B25" s="288" t="s">
        <v>291</v>
      </c>
      <c r="D25" s="309"/>
      <c r="E25" s="290">
        <v>42763210</v>
      </c>
      <c r="F25" s="291">
        <v>6674370</v>
      </c>
      <c r="G25" s="291">
        <v>1417666</v>
      </c>
      <c r="H25" s="291">
        <v>27011</v>
      </c>
      <c r="I25" s="292">
        <v>50882257</v>
      </c>
      <c r="J25" s="293">
        <v>2735310</v>
      </c>
      <c r="K25" s="294">
        <v>342471</v>
      </c>
      <c r="L25" s="294">
        <v>43383</v>
      </c>
      <c r="M25" s="294">
        <v>0</v>
      </c>
      <c r="N25" s="292">
        <v>3121164</v>
      </c>
      <c r="O25" s="294">
        <v>3565541</v>
      </c>
      <c r="P25" s="294">
        <v>831702</v>
      </c>
      <c r="Q25" s="294">
        <v>149417</v>
      </c>
      <c r="R25" s="294">
        <v>0</v>
      </c>
      <c r="S25" s="292">
        <v>4546660</v>
      </c>
      <c r="T25" s="293">
        <v>3527797</v>
      </c>
      <c r="U25" s="294">
        <v>495850</v>
      </c>
      <c r="V25" s="294">
        <v>21837</v>
      </c>
      <c r="W25" s="294">
        <v>0</v>
      </c>
      <c r="X25" s="292">
        <v>4045484</v>
      </c>
      <c r="Y25" s="293">
        <v>3692128</v>
      </c>
      <c r="Z25" s="294">
        <v>781446</v>
      </c>
      <c r="AA25" s="294">
        <v>48763</v>
      </c>
      <c r="AB25" s="294">
        <v>0</v>
      </c>
      <c r="AC25" s="292">
        <v>4522337</v>
      </c>
      <c r="AD25" s="293">
        <v>3549026</v>
      </c>
      <c r="AE25" s="294">
        <v>454941</v>
      </c>
      <c r="AF25" s="294">
        <v>84076</v>
      </c>
      <c r="AG25" s="294">
        <v>0</v>
      </c>
      <c r="AH25" s="292">
        <v>4088043</v>
      </c>
      <c r="AI25" s="293">
        <v>3337918</v>
      </c>
      <c r="AJ25" s="294">
        <v>485673</v>
      </c>
      <c r="AK25" s="294">
        <v>126998</v>
      </c>
      <c r="AL25" s="294">
        <v>0</v>
      </c>
      <c r="AM25" s="292">
        <v>3950589</v>
      </c>
      <c r="AN25" s="293">
        <v>3977863</v>
      </c>
      <c r="AO25" s="294">
        <v>828489</v>
      </c>
      <c r="AP25" s="294">
        <v>31045</v>
      </c>
      <c r="AQ25" s="294">
        <v>0</v>
      </c>
      <c r="AR25" s="292">
        <v>4837397</v>
      </c>
      <c r="AS25" s="293">
        <v>3404449</v>
      </c>
      <c r="AT25" s="294">
        <v>503949</v>
      </c>
      <c r="AU25" s="294">
        <v>73715</v>
      </c>
      <c r="AV25" s="294">
        <v>0</v>
      </c>
      <c r="AW25" s="292">
        <v>3982113</v>
      </c>
      <c r="AX25" s="293">
        <v>2993100</v>
      </c>
      <c r="AY25" s="294">
        <v>602865</v>
      </c>
      <c r="AZ25" s="294">
        <v>147861</v>
      </c>
      <c r="BA25" s="294">
        <v>0</v>
      </c>
      <c r="BB25" s="292">
        <v>3743826</v>
      </c>
      <c r="BC25" s="293">
        <v>3947413</v>
      </c>
      <c r="BD25" s="294">
        <v>942508</v>
      </c>
      <c r="BE25" s="294">
        <v>104728</v>
      </c>
      <c r="BF25" s="294">
        <v>0</v>
      </c>
      <c r="BG25" s="292">
        <v>4994649</v>
      </c>
      <c r="BH25" s="293">
        <v>3804794</v>
      </c>
      <c r="BI25" s="294">
        <v>715909</v>
      </c>
      <c r="BJ25" s="294">
        <v>39319</v>
      </c>
      <c r="BK25" s="294">
        <v>0</v>
      </c>
      <c r="BL25" s="292">
        <v>4560022</v>
      </c>
      <c r="BM25" s="293">
        <v>4227871</v>
      </c>
      <c r="BN25" s="294">
        <v>-311433</v>
      </c>
      <c r="BO25" s="294">
        <v>546524</v>
      </c>
      <c r="BP25" s="294">
        <v>27011</v>
      </c>
      <c r="BQ25" s="292">
        <v>4489973</v>
      </c>
      <c r="BR25" s="293">
        <v>42763210</v>
      </c>
      <c r="BS25" s="291">
        <v>6674370</v>
      </c>
      <c r="BT25" s="294">
        <v>1417666</v>
      </c>
      <c r="BU25" s="294">
        <v>27011</v>
      </c>
      <c r="BV25" s="293">
        <v>50882257</v>
      </c>
      <c r="BW25" s="299"/>
      <c r="BX25" s="296">
        <v>100</v>
      </c>
      <c r="BZ25" s="245">
        <v>0</v>
      </c>
      <c r="CA25" s="245">
        <v>0</v>
      </c>
      <c r="CB25" s="245">
        <v>0</v>
      </c>
      <c r="CC25" s="245">
        <v>0</v>
      </c>
    </row>
    <row r="26" spans="1:81" ht="12.75" x14ac:dyDescent="0.2">
      <c r="A26" s="287">
        <v>20</v>
      </c>
      <c r="B26" s="288" t="s">
        <v>239</v>
      </c>
      <c r="D26" s="289"/>
      <c r="E26" s="290">
        <v>332584</v>
      </c>
      <c r="F26" s="291">
        <v>1670</v>
      </c>
      <c r="G26" s="291">
        <v>2356</v>
      </c>
      <c r="H26" s="291">
        <v>0</v>
      </c>
      <c r="I26" s="292">
        <v>336610</v>
      </c>
      <c r="J26" s="293">
        <v>24834</v>
      </c>
      <c r="K26" s="294">
        <v>35</v>
      </c>
      <c r="L26" s="294">
        <v>24</v>
      </c>
      <c r="M26" s="294">
        <v>0</v>
      </c>
      <c r="N26" s="292">
        <v>24893</v>
      </c>
      <c r="O26" s="294">
        <v>21484</v>
      </c>
      <c r="P26" s="294">
        <v>49</v>
      </c>
      <c r="Q26" s="294">
        <v>6</v>
      </c>
      <c r="R26" s="294">
        <v>0</v>
      </c>
      <c r="S26" s="292">
        <v>21539</v>
      </c>
      <c r="T26" s="293">
        <v>21968</v>
      </c>
      <c r="U26" s="294">
        <v>1</v>
      </c>
      <c r="V26" s="294">
        <v>0</v>
      </c>
      <c r="W26" s="294">
        <v>0</v>
      </c>
      <c r="X26" s="292">
        <v>21969</v>
      </c>
      <c r="Y26" s="293">
        <v>22983</v>
      </c>
      <c r="Z26" s="294">
        <v>162</v>
      </c>
      <c r="AA26" s="294">
        <v>0</v>
      </c>
      <c r="AB26" s="294">
        <v>0</v>
      </c>
      <c r="AC26" s="292">
        <v>23145</v>
      </c>
      <c r="AD26" s="293">
        <v>24384</v>
      </c>
      <c r="AE26" s="294">
        <v>788</v>
      </c>
      <c r="AF26" s="294">
        <v>795</v>
      </c>
      <c r="AG26" s="294">
        <v>0</v>
      </c>
      <c r="AH26" s="292">
        <v>25967</v>
      </c>
      <c r="AI26" s="293">
        <v>26851</v>
      </c>
      <c r="AJ26" s="294">
        <v>28</v>
      </c>
      <c r="AK26" s="294">
        <v>672</v>
      </c>
      <c r="AL26" s="294">
        <v>0</v>
      </c>
      <c r="AM26" s="292">
        <v>27551</v>
      </c>
      <c r="AN26" s="293">
        <v>23826</v>
      </c>
      <c r="AO26" s="294">
        <v>46</v>
      </c>
      <c r="AP26" s="294">
        <v>37</v>
      </c>
      <c r="AQ26" s="294">
        <v>0</v>
      </c>
      <c r="AR26" s="292">
        <v>23909</v>
      </c>
      <c r="AS26" s="293">
        <v>21510</v>
      </c>
      <c r="AT26" s="294">
        <v>9</v>
      </c>
      <c r="AU26" s="294">
        <v>0</v>
      </c>
      <c r="AV26" s="294">
        <v>0</v>
      </c>
      <c r="AW26" s="292">
        <v>21519</v>
      </c>
      <c r="AX26" s="293">
        <v>22274</v>
      </c>
      <c r="AY26" s="294">
        <v>7</v>
      </c>
      <c r="AZ26" s="294">
        <v>0</v>
      </c>
      <c r="BA26" s="294">
        <v>0</v>
      </c>
      <c r="BB26" s="292">
        <v>22281</v>
      </c>
      <c r="BC26" s="293">
        <v>21339</v>
      </c>
      <c r="BD26" s="294">
        <v>11</v>
      </c>
      <c r="BE26" s="294">
        <v>554</v>
      </c>
      <c r="BF26" s="294">
        <v>0</v>
      </c>
      <c r="BG26" s="292">
        <v>21904</v>
      </c>
      <c r="BH26" s="293">
        <v>54163</v>
      </c>
      <c r="BI26" s="294">
        <v>437</v>
      </c>
      <c r="BJ26" s="294">
        <v>268</v>
      </c>
      <c r="BK26" s="294">
        <v>0</v>
      </c>
      <c r="BL26" s="292">
        <v>54868</v>
      </c>
      <c r="BM26" s="293">
        <v>46968</v>
      </c>
      <c r="BN26" s="294">
        <v>97</v>
      </c>
      <c r="BO26" s="294">
        <v>0</v>
      </c>
      <c r="BP26" s="294">
        <v>0</v>
      </c>
      <c r="BQ26" s="292">
        <v>47065</v>
      </c>
      <c r="BR26" s="293">
        <v>332584</v>
      </c>
      <c r="BS26" s="291">
        <v>1670</v>
      </c>
      <c r="BT26" s="294">
        <v>2356</v>
      </c>
      <c r="BU26" s="294">
        <v>0</v>
      </c>
      <c r="BV26" s="293">
        <v>336610</v>
      </c>
      <c r="BW26" s="299"/>
      <c r="BX26" s="296">
        <v>100</v>
      </c>
      <c r="BZ26" s="245">
        <v>0</v>
      </c>
      <c r="CA26" s="245">
        <v>0</v>
      </c>
      <c r="CB26" s="245">
        <v>0</v>
      </c>
      <c r="CC26" s="245">
        <v>0</v>
      </c>
    </row>
    <row r="27" spans="1:81" ht="12.75" x14ac:dyDescent="0.2">
      <c r="A27" s="287">
        <v>21</v>
      </c>
      <c r="B27" s="288" t="s">
        <v>240</v>
      </c>
      <c r="D27" s="289"/>
      <c r="E27" s="290">
        <v>14599089</v>
      </c>
      <c r="F27" s="291">
        <v>2969361</v>
      </c>
      <c r="G27" s="291">
        <v>608601</v>
      </c>
      <c r="H27" s="291">
        <v>10769</v>
      </c>
      <c r="I27" s="292">
        <v>18187820</v>
      </c>
      <c r="J27" s="293">
        <v>1047609</v>
      </c>
      <c r="K27" s="294">
        <v>246807</v>
      </c>
      <c r="L27" s="294">
        <v>58943</v>
      </c>
      <c r="M27" s="294">
        <v>20</v>
      </c>
      <c r="N27" s="292">
        <v>1353379</v>
      </c>
      <c r="O27" s="294">
        <v>987834</v>
      </c>
      <c r="P27" s="294">
        <v>235842</v>
      </c>
      <c r="Q27" s="294">
        <v>17899</v>
      </c>
      <c r="R27" s="294">
        <v>0</v>
      </c>
      <c r="S27" s="292">
        <v>1241575</v>
      </c>
      <c r="T27" s="293">
        <v>1108319</v>
      </c>
      <c r="U27" s="294">
        <v>238627</v>
      </c>
      <c r="V27" s="294">
        <v>31655</v>
      </c>
      <c r="W27" s="294">
        <v>282</v>
      </c>
      <c r="X27" s="292">
        <v>1378883</v>
      </c>
      <c r="Y27" s="293">
        <v>1227956</v>
      </c>
      <c r="Z27" s="294">
        <v>264202</v>
      </c>
      <c r="AA27" s="294">
        <v>27987</v>
      </c>
      <c r="AB27" s="294">
        <v>-203</v>
      </c>
      <c r="AC27" s="292">
        <v>1519942</v>
      </c>
      <c r="AD27" s="293">
        <v>1026461</v>
      </c>
      <c r="AE27" s="294">
        <v>245846</v>
      </c>
      <c r="AF27" s="294">
        <v>50761</v>
      </c>
      <c r="AG27" s="294">
        <v>109</v>
      </c>
      <c r="AH27" s="292">
        <v>1323177</v>
      </c>
      <c r="AI27" s="293">
        <v>1249034</v>
      </c>
      <c r="AJ27" s="294">
        <v>244693</v>
      </c>
      <c r="AK27" s="294">
        <v>37295</v>
      </c>
      <c r="AL27" s="294">
        <v>892</v>
      </c>
      <c r="AM27" s="292">
        <v>1531914</v>
      </c>
      <c r="AN27" s="293">
        <v>1050463</v>
      </c>
      <c r="AO27" s="294">
        <v>239708</v>
      </c>
      <c r="AP27" s="294">
        <v>33745</v>
      </c>
      <c r="AQ27" s="294">
        <v>144</v>
      </c>
      <c r="AR27" s="292">
        <v>1324060</v>
      </c>
      <c r="AS27" s="293">
        <v>1215423</v>
      </c>
      <c r="AT27" s="294">
        <v>242797</v>
      </c>
      <c r="AU27" s="294">
        <v>59962</v>
      </c>
      <c r="AV27" s="294">
        <v>2092</v>
      </c>
      <c r="AW27" s="292">
        <v>1520274</v>
      </c>
      <c r="AX27" s="293">
        <v>1320848</v>
      </c>
      <c r="AY27" s="294">
        <v>246613</v>
      </c>
      <c r="AZ27" s="294">
        <v>9587</v>
      </c>
      <c r="BA27" s="294">
        <v>21</v>
      </c>
      <c r="BB27" s="292">
        <v>1577069</v>
      </c>
      <c r="BC27" s="293">
        <v>1057100</v>
      </c>
      <c r="BD27" s="294">
        <v>251217</v>
      </c>
      <c r="BE27" s="294">
        <v>81727</v>
      </c>
      <c r="BF27" s="294">
        <v>16</v>
      </c>
      <c r="BG27" s="292">
        <v>1390060</v>
      </c>
      <c r="BH27" s="293">
        <v>1222001</v>
      </c>
      <c r="BI27" s="294">
        <v>248810</v>
      </c>
      <c r="BJ27" s="294">
        <v>36332</v>
      </c>
      <c r="BK27" s="294">
        <v>607</v>
      </c>
      <c r="BL27" s="292">
        <v>1507750</v>
      </c>
      <c r="BM27" s="293">
        <v>2086041</v>
      </c>
      <c r="BN27" s="294">
        <v>264199</v>
      </c>
      <c r="BO27" s="294">
        <v>162708</v>
      </c>
      <c r="BP27" s="294">
        <v>6789</v>
      </c>
      <c r="BQ27" s="292">
        <v>2519737</v>
      </c>
      <c r="BR27" s="293">
        <v>14599089</v>
      </c>
      <c r="BS27" s="291">
        <v>2969361</v>
      </c>
      <c r="BT27" s="294">
        <v>608601</v>
      </c>
      <c r="BU27" s="294">
        <v>10769</v>
      </c>
      <c r="BV27" s="293">
        <v>18187820</v>
      </c>
      <c r="BW27" s="299"/>
      <c r="BX27" s="296">
        <v>100</v>
      </c>
      <c r="BZ27" s="245">
        <v>0</v>
      </c>
      <c r="CA27" s="245">
        <v>0</v>
      </c>
      <c r="CB27" s="245">
        <v>0</v>
      </c>
      <c r="CC27" s="245">
        <v>0</v>
      </c>
    </row>
    <row r="28" spans="1:81" ht="12.75" x14ac:dyDescent="0.2">
      <c r="A28" s="287">
        <v>22</v>
      </c>
      <c r="B28" s="262" t="s">
        <v>292</v>
      </c>
      <c r="D28" s="289"/>
      <c r="E28" s="290">
        <v>1035531</v>
      </c>
      <c r="F28" s="291">
        <v>3266</v>
      </c>
      <c r="G28" s="291">
        <v>95066</v>
      </c>
      <c r="H28" s="291">
        <v>24</v>
      </c>
      <c r="I28" s="292">
        <v>1133887</v>
      </c>
      <c r="J28" s="293">
        <v>68601</v>
      </c>
      <c r="K28" s="294">
        <v>302</v>
      </c>
      <c r="L28" s="294">
        <v>934</v>
      </c>
      <c r="M28" s="294">
        <v>0</v>
      </c>
      <c r="N28" s="292">
        <v>69837</v>
      </c>
      <c r="O28" s="294">
        <v>73422</v>
      </c>
      <c r="P28" s="294">
        <v>38</v>
      </c>
      <c r="Q28" s="294">
        <v>623</v>
      </c>
      <c r="R28" s="294">
        <v>24</v>
      </c>
      <c r="S28" s="292">
        <v>74107</v>
      </c>
      <c r="T28" s="293">
        <v>79779</v>
      </c>
      <c r="U28" s="294">
        <v>44</v>
      </c>
      <c r="V28" s="294">
        <v>2601</v>
      </c>
      <c r="W28" s="294">
        <v>0</v>
      </c>
      <c r="X28" s="292">
        <v>82424</v>
      </c>
      <c r="Y28" s="293">
        <v>82810</v>
      </c>
      <c r="Z28" s="294">
        <v>1478</v>
      </c>
      <c r="AA28" s="294">
        <v>5692</v>
      </c>
      <c r="AB28" s="294">
        <v>0</v>
      </c>
      <c r="AC28" s="292">
        <v>89980</v>
      </c>
      <c r="AD28" s="293">
        <v>92608</v>
      </c>
      <c r="AE28" s="294">
        <v>-295</v>
      </c>
      <c r="AF28" s="294">
        <v>19853</v>
      </c>
      <c r="AG28" s="294">
        <v>0</v>
      </c>
      <c r="AH28" s="292">
        <v>112166</v>
      </c>
      <c r="AI28" s="293">
        <v>82339</v>
      </c>
      <c r="AJ28" s="294">
        <v>48</v>
      </c>
      <c r="AK28" s="294">
        <v>6178</v>
      </c>
      <c r="AL28" s="294">
        <v>0</v>
      </c>
      <c r="AM28" s="292">
        <v>88565</v>
      </c>
      <c r="AN28" s="293">
        <v>87425</v>
      </c>
      <c r="AO28" s="294">
        <v>231</v>
      </c>
      <c r="AP28" s="294">
        <v>9702</v>
      </c>
      <c r="AQ28" s="294">
        <v>0</v>
      </c>
      <c r="AR28" s="292">
        <v>97358</v>
      </c>
      <c r="AS28" s="293">
        <v>79280</v>
      </c>
      <c r="AT28" s="294">
        <v>138</v>
      </c>
      <c r="AU28" s="294">
        <v>2628</v>
      </c>
      <c r="AV28" s="294">
        <v>0</v>
      </c>
      <c r="AW28" s="292">
        <v>82046</v>
      </c>
      <c r="AX28" s="293">
        <v>80448</v>
      </c>
      <c r="AY28" s="294">
        <v>392</v>
      </c>
      <c r="AZ28" s="294">
        <v>6977</v>
      </c>
      <c r="BA28" s="294">
        <v>0</v>
      </c>
      <c r="BB28" s="292">
        <v>87817</v>
      </c>
      <c r="BC28" s="293">
        <v>78691</v>
      </c>
      <c r="BD28" s="294">
        <v>77</v>
      </c>
      <c r="BE28" s="294">
        <v>5212</v>
      </c>
      <c r="BF28" s="294">
        <v>0</v>
      </c>
      <c r="BG28" s="292">
        <v>83980</v>
      </c>
      <c r="BH28" s="293">
        <v>89355</v>
      </c>
      <c r="BI28" s="294">
        <v>549</v>
      </c>
      <c r="BJ28" s="294">
        <v>9336</v>
      </c>
      <c r="BK28" s="294">
        <v>0</v>
      </c>
      <c r="BL28" s="292">
        <v>99240</v>
      </c>
      <c r="BM28" s="293">
        <v>140773</v>
      </c>
      <c r="BN28" s="294">
        <v>264</v>
      </c>
      <c r="BO28" s="294">
        <v>25330</v>
      </c>
      <c r="BP28" s="294">
        <v>0</v>
      </c>
      <c r="BQ28" s="292">
        <v>166367</v>
      </c>
      <c r="BR28" s="293">
        <v>1035531</v>
      </c>
      <c r="BS28" s="291">
        <v>3266</v>
      </c>
      <c r="BT28" s="294">
        <v>95066</v>
      </c>
      <c r="BU28" s="294">
        <v>24</v>
      </c>
      <c r="BV28" s="293">
        <v>1133887</v>
      </c>
      <c r="BW28" s="299"/>
      <c r="BX28" s="296">
        <v>100</v>
      </c>
      <c r="BZ28" s="245">
        <v>0</v>
      </c>
      <c r="CA28" s="245">
        <v>0</v>
      </c>
      <c r="CB28" s="245">
        <v>0</v>
      </c>
      <c r="CC28" s="245">
        <v>0</v>
      </c>
    </row>
    <row r="29" spans="1:81" ht="12.75" x14ac:dyDescent="0.2">
      <c r="A29" s="287">
        <v>23</v>
      </c>
      <c r="B29" s="288" t="s">
        <v>243</v>
      </c>
      <c r="D29" s="289"/>
      <c r="E29" s="290">
        <v>92232130</v>
      </c>
      <c r="F29" s="291">
        <v>1368195</v>
      </c>
      <c r="G29" s="291">
        <v>2440586</v>
      </c>
      <c r="H29" s="291">
        <v>32306</v>
      </c>
      <c r="I29" s="292">
        <v>96073217</v>
      </c>
      <c r="J29" s="293">
        <v>7584822</v>
      </c>
      <c r="K29" s="294">
        <v>126582</v>
      </c>
      <c r="L29" s="294">
        <v>77961</v>
      </c>
      <c r="M29" s="294">
        <v>833</v>
      </c>
      <c r="N29" s="292">
        <v>7790198</v>
      </c>
      <c r="O29" s="294">
        <v>7378437</v>
      </c>
      <c r="P29" s="294">
        <v>109950</v>
      </c>
      <c r="Q29" s="294">
        <v>62539</v>
      </c>
      <c r="R29" s="294">
        <v>1248</v>
      </c>
      <c r="S29" s="292">
        <v>7552174</v>
      </c>
      <c r="T29" s="293">
        <v>7722221</v>
      </c>
      <c r="U29" s="294">
        <v>75464</v>
      </c>
      <c r="V29" s="294">
        <v>165924</v>
      </c>
      <c r="W29" s="294">
        <v>154</v>
      </c>
      <c r="X29" s="293">
        <v>7963763</v>
      </c>
      <c r="Y29" s="293">
        <v>7886220</v>
      </c>
      <c r="Z29" s="294">
        <v>148077</v>
      </c>
      <c r="AA29" s="294">
        <v>163921</v>
      </c>
      <c r="AB29" s="294">
        <v>1732</v>
      </c>
      <c r="AC29" s="292">
        <v>8199950</v>
      </c>
      <c r="AD29" s="293">
        <v>7276739</v>
      </c>
      <c r="AE29" s="294">
        <v>105180</v>
      </c>
      <c r="AF29" s="294">
        <v>125595</v>
      </c>
      <c r="AG29" s="294">
        <v>881</v>
      </c>
      <c r="AH29" s="292">
        <v>7508395</v>
      </c>
      <c r="AI29" s="293">
        <v>7181134</v>
      </c>
      <c r="AJ29" s="294">
        <v>102595</v>
      </c>
      <c r="AK29" s="294">
        <v>97674</v>
      </c>
      <c r="AL29" s="294">
        <v>534</v>
      </c>
      <c r="AM29" s="292">
        <v>7381937</v>
      </c>
      <c r="AN29" s="293">
        <v>7767415</v>
      </c>
      <c r="AO29" s="294">
        <v>177789</v>
      </c>
      <c r="AP29" s="294">
        <v>193976</v>
      </c>
      <c r="AQ29" s="294">
        <v>1256</v>
      </c>
      <c r="AR29" s="292">
        <v>8140436</v>
      </c>
      <c r="AS29" s="293">
        <v>7162635</v>
      </c>
      <c r="AT29" s="294">
        <v>103389</v>
      </c>
      <c r="AU29" s="294">
        <v>184574</v>
      </c>
      <c r="AV29" s="294">
        <v>8429</v>
      </c>
      <c r="AW29" s="292">
        <v>7459027</v>
      </c>
      <c r="AX29" s="293">
        <v>7653704</v>
      </c>
      <c r="AY29" s="294">
        <v>115101</v>
      </c>
      <c r="AZ29" s="294">
        <v>349001</v>
      </c>
      <c r="BA29" s="294">
        <v>1353</v>
      </c>
      <c r="BB29" s="292">
        <v>8119159</v>
      </c>
      <c r="BC29" s="293">
        <v>7632078</v>
      </c>
      <c r="BD29" s="294">
        <v>95367</v>
      </c>
      <c r="BE29" s="294">
        <v>312444</v>
      </c>
      <c r="BF29" s="294">
        <v>6848</v>
      </c>
      <c r="BG29" s="292">
        <v>8046737</v>
      </c>
      <c r="BH29" s="293">
        <v>8040210</v>
      </c>
      <c r="BI29" s="294">
        <v>109212</v>
      </c>
      <c r="BJ29" s="294">
        <v>215520</v>
      </c>
      <c r="BK29" s="294">
        <v>6491</v>
      </c>
      <c r="BL29" s="292">
        <v>8371433</v>
      </c>
      <c r="BM29" s="293">
        <v>8946515</v>
      </c>
      <c r="BN29" s="294">
        <v>99489</v>
      </c>
      <c r="BO29" s="294">
        <v>491457</v>
      </c>
      <c r="BP29" s="294">
        <v>2547</v>
      </c>
      <c r="BQ29" s="292">
        <v>9540008</v>
      </c>
      <c r="BR29" s="293">
        <v>92232130</v>
      </c>
      <c r="BS29" s="291">
        <v>1368195</v>
      </c>
      <c r="BT29" s="294">
        <v>2440586</v>
      </c>
      <c r="BU29" s="294">
        <v>32306</v>
      </c>
      <c r="BV29" s="293">
        <v>96073217</v>
      </c>
      <c r="BW29" s="299"/>
      <c r="BX29" s="296">
        <v>100</v>
      </c>
      <c r="BZ29" s="245">
        <v>0</v>
      </c>
      <c r="CA29" s="245">
        <v>0</v>
      </c>
      <c r="CB29" s="245">
        <v>0</v>
      </c>
      <c r="CC29" s="245">
        <v>0</v>
      </c>
    </row>
    <row r="30" spans="1:81" ht="12.75" x14ac:dyDescent="0.2">
      <c r="A30" s="287">
        <v>24</v>
      </c>
      <c r="B30" s="288" t="s">
        <v>293</v>
      </c>
      <c r="D30" s="289"/>
      <c r="E30" s="290">
        <v>3069306</v>
      </c>
      <c r="F30" s="291">
        <v>4185490</v>
      </c>
      <c r="G30" s="291">
        <v>202276</v>
      </c>
      <c r="H30" s="291">
        <v>2928</v>
      </c>
      <c r="I30" s="292">
        <v>7460000</v>
      </c>
      <c r="J30" s="293">
        <v>309658</v>
      </c>
      <c r="K30" s="294">
        <v>549654</v>
      </c>
      <c r="L30" s="294">
        <v>8219</v>
      </c>
      <c r="M30" s="294">
        <v>0</v>
      </c>
      <c r="N30" s="292">
        <v>867531</v>
      </c>
      <c r="O30" s="294">
        <v>270415</v>
      </c>
      <c r="P30" s="294">
        <v>369038</v>
      </c>
      <c r="Q30" s="294">
        <v>20066</v>
      </c>
      <c r="R30" s="294">
        <v>17</v>
      </c>
      <c r="S30" s="292">
        <v>659536</v>
      </c>
      <c r="T30" s="293">
        <v>257411</v>
      </c>
      <c r="U30" s="294">
        <v>157097</v>
      </c>
      <c r="V30" s="294">
        <v>12852</v>
      </c>
      <c r="W30" s="294">
        <v>14</v>
      </c>
      <c r="X30" s="292">
        <v>427374</v>
      </c>
      <c r="Y30" s="293">
        <v>254616</v>
      </c>
      <c r="Z30" s="294">
        <v>127626</v>
      </c>
      <c r="AA30" s="294">
        <v>24567</v>
      </c>
      <c r="AB30" s="294">
        <v>3</v>
      </c>
      <c r="AC30" s="292">
        <v>406812</v>
      </c>
      <c r="AD30" s="293">
        <v>261910</v>
      </c>
      <c r="AE30" s="294">
        <v>898028</v>
      </c>
      <c r="AF30" s="294">
        <v>19103</v>
      </c>
      <c r="AG30" s="294">
        <v>116</v>
      </c>
      <c r="AH30" s="292">
        <v>1179157</v>
      </c>
      <c r="AI30" s="293">
        <v>238307</v>
      </c>
      <c r="AJ30" s="294">
        <v>90631</v>
      </c>
      <c r="AK30" s="294">
        <v>9568</v>
      </c>
      <c r="AL30" s="294">
        <v>23</v>
      </c>
      <c r="AM30" s="292">
        <v>338529</v>
      </c>
      <c r="AN30" s="293">
        <v>219257</v>
      </c>
      <c r="AO30" s="294">
        <v>918239</v>
      </c>
      <c r="AP30" s="294">
        <v>29482</v>
      </c>
      <c r="AQ30" s="294">
        <v>27</v>
      </c>
      <c r="AR30" s="292">
        <v>1167005</v>
      </c>
      <c r="AS30" s="293">
        <v>250456</v>
      </c>
      <c r="AT30" s="294">
        <v>89739</v>
      </c>
      <c r="AU30" s="294">
        <v>22610</v>
      </c>
      <c r="AV30" s="294">
        <v>20</v>
      </c>
      <c r="AW30" s="292">
        <v>362825</v>
      </c>
      <c r="AX30" s="293">
        <v>249862</v>
      </c>
      <c r="AY30" s="294">
        <v>93770</v>
      </c>
      <c r="AZ30" s="294">
        <v>14433</v>
      </c>
      <c r="BA30" s="294">
        <v>31</v>
      </c>
      <c r="BB30" s="292">
        <v>358096</v>
      </c>
      <c r="BC30" s="293">
        <v>229489</v>
      </c>
      <c r="BD30" s="294">
        <v>855251</v>
      </c>
      <c r="BE30" s="294">
        <v>10574</v>
      </c>
      <c r="BF30" s="294">
        <v>34</v>
      </c>
      <c r="BG30" s="292">
        <v>1095348</v>
      </c>
      <c r="BH30" s="293">
        <v>142168</v>
      </c>
      <c r="BI30" s="294">
        <v>2002</v>
      </c>
      <c r="BJ30" s="294">
        <v>16706</v>
      </c>
      <c r="BK30" s="294">
        <v>14</v>
      </c>
      <c r="BL30" s="292">
        <v>160890</v>
      </c>
      <c r="BM30" s="293">
        <v>385757</v>
      </c>
      <c r="BN30" s="294">
        <v>34415</v>
      </c>
      <c r="BO30" s="294">
        <v>14096</v>
      </c>
      <c r="BP30" s="294">
        <v>2629</v>
      </c>
      <c r="BQ30" s="292">
        <v>436897</v>
      </c>
      <c r="BR30" s="293">
        <v>3069306</v>
      </c>
      <c r="BS30" s="291">
        <v>4185490</v>
      </c>
      <c r="BT30" s="294">
        <v>202276</v>
      </c>
      <c r="BU30" s="294">
        <v>2928</v>
      </c>
      <c r="BV30" s="293">
        <v>7460000</v>
      </c>
      <c r="BW30" s="299"/>
      <c r="BX30" s="296">
        <v>100</v>
      </c>
      <c r="BZ30" s="245">
        <v>0</v>
      </c>
      <c r="CA30" s="245">
        <v>0</v>
      </c>
      <c r="CB30" s="245">
        <v>0</v>
      </c>
      <c r="CC30" s="245">
        <v>0</v>
      </c>
    </row>
    <row r="31" spans="1:81" ht="12.75" x14ac:dyDescent="0.2">
      <c r="A31" s="287">
        <v>25</v>
      </c>
      <c r="B31" s="288" t="s">
        <v>294</v>
      </c>
      <c r="D31" s="289"/>
      <c r="E31" s="290">
        <v>124792</v>
      </c>
      <c r="F31" s="291">
        <v>840821</v>
      </c>
      <c r="G31" s="291">
        <v>746</v>
      </c>
      <c r="H31" s="291">
        <v>0</v>
      </c>
      <c r="I31" s="292">
        <v>966359</v>
      </c>
      <c r="J31" s="293">
        <v>12577</v>
      </c>
      <c r="K31" s="294">
        <v>160603</v>
      </c>
      <c r="L31" s="294">
        <v>38</v>
      </c>
      <c r="M31" s="294">
        <v>0</v>
      </c>
      <c r="N31" s="292">
        <v>173218</v>
      </c>
      <c r="O31" s="294">
        <v>8990</v>
      </c>
      <c r="P31" s="294">
        <v>72420</v>
      </c>
      <c r="Q31" s="294">
        <v>76</v>
      </c>
      <c r="R31" s="294">
        <v>0</v>
      </c>
      <c r="S31" s="292">
        <v>81486</v>
      </c>
      <c r="T31" s="293">
        <v>10450</v>
      </c>
      <c r="U31" s="294">
        <v>17500</v>
      </c>
      <c r="V31" s="294">
        <v>59</v>
      </c>
      <c r="W31" s="294">
        <v>0</v>
      </c>
      <c r="X31" s="292">
        <v>28009</v>
      </c>
      <c r="Y31" s="293">
        <v>12028</v>
      </c>
      <c r="Z31" s="294">
        <v>100656</v>
      </c>
      <c r="AA31" s="294">
        <v>58</v>
      </c>
      <c r="AB31" s="294">
        <v>0</v>
      </c>
      <c r="AC31" s="292">
        <v>112742</v>
      </c>
      <c r="AD31" s="293">
        <v>10832</v>
      </c>
      <c r="AE31" s="294">
        <v>113420</v>
      </c>
      <c r="AF31" s="294">
        <v>47</v>
      </c>
      <c r="AG31" s="294">
        <v>0</v>
      </c>
      <c r="AH31" s="292">
        <v>124299</v>
      </c>
      <c r="AI31" s="293">
        <v>12479</v>
      </c>
      <c r="AJ31" s="294">
        <v>17504</v>
      </c>
      <c r="AK31" s="294">
        <v>65</v>
      </c>
      <c r="AL31" s="294">
        <v>0</v>
      </c>
      <c r="AM31" s="292">
        <v>30048</v>
      </c>
      <c r="AN31" s="293">
        <v>8628</v>
      </c>
      <c r="AO31" s="294">
        <v>100592</v>
      </c>
      <c r="AP31" s="294">
        <v>53</v>
      </c>
      <c r="AQ31" s="294">
        <v>0</v>
      </c>
      <c r="AR31" s="292">
        <v>109273</v>
      </c>
      <c r="AS31" s="293">
        <v>9780</v>
      </c>
      <c r="AT31" s="294">
        <v>92671</v>
      </c>
      <c r="AU31" s="294">
        <v>50</v>
      </c>
      <c r="AV31" s="294">
        <v>0</v>
      </c>
      <c r="AW31" s="292">
        <v>102501</v>
      </c>
      <c r="AX31" s="293">
        <v>8874</v>
      </c>
      <c r="AY31" s="294">
        <v>0</v>
      </c>
      <c r="AZ31" s="294">
        <v>50</v>
      </c>
      <c r="BA31" s="294">
        <v>0</v>
      </c>
      <c r="BB31" s="292">
        <v>8924</v>
      </c>
      <c r="BC31" s="293">
        <v>9465</v>
      </c>
      <c r="BD31" s="294">
        <v>105092</v>
      </c>
      <c r="BE31" s="294">
        <v>49</v>
      </c>
      <c r="BF31" s="294">
        <v>0</v>
      </c>
      <c r="BG31" s="292">
        <v>114606</v>
      </c>
      <c r="BH31" s="293">
        <v>8319</v>
      </c>
      <c r="BI31" s="294">
        <v>60364</v>
      </c>
      <c r="BJ31" s="294">
        <v>50</v>
      </c>
      <c r="BK31" s="294">
        <v>0</v>
      </c>
      <c r="BL31" s="292">
        <v>68733</v>
      </c>
      <c r="BM31" s="293">
        <v>12370</v>
      </c>
      <c r="BN31" s="294">
        <v>-1</v>
      </c>
      <c r="BO31" s="294">
        <v>151</v>
      </c>
      <c r="BP31" s="294">
        <v>0</v>
      </c>
      <c r="BQ31" s="292">
        <v>12520</v>
      </c>
      <c r="BR31" s="293">
        <v>124792</v>
      </c>
      <c r="BS31" s="291">
        <v>840821</v>
      </c>
      <c r="BT31" s="294">
        <v>746</v>
      </c>
      <c r="BU31" s="294">
        <v>0</v>
      </c>
      <c r="BV31" s="293">
        <v>966359</v>
      </c>
      <c r="BW31" s="299"/>
      <c r="BX31" s="296">
        <v>100</v>
      </c>
      <c r="BZ31" s="245">
        <v>0</v>
      </c>
      <c r="CA31" s="245">
        <v>0</v>
      </c>
      <c r="CB31" s="245">
        <v>0</v>
      </c>
      <c r="CC31" s="245">
        <v>0</v>
      </c>
    </row>
    <row r="32" spans="1:81" ht="12.75" x14ac:dyDescent="0.2">
      <c r="A32" s="287">
        <v>26</v>
      </c>
      <c r="B32" s="288" t="s">
        <v>295</v>
      </c>
      <c r="D32" s="289"/>
      <c r="E32" s="290">
        <v>615208</v>
      </c>
      <c r="F32" s="291">
        <v>6309774</v>
      </c>
      <c r="G32" s="291">
        <v>2237</v>
      </c>
      <c r="H32" s="291">
        <v>11</v>
      </c>
      <c r="I32" s="292">
        <v>6927230</v>
      </c>
      <c r="J32" s="293">
        <v>34656</v>
      </c>
      <c r="K32" s="294">
        <v>476094</v>
      </c>
      <c r="L32" s="294">
        <v>0</v>
      </c>
      <c r="M32" s="294">
        <v>0</v>
      </c>
      <c r="N32" s="292">
        <v>510750</v>
      </c>
      <c r="O32" s="294">
        <v>41232</v>
      </c>
      <c r="P32" s="294">
        <v>613287</v>
      </c>
      <c r="Q32" s="294">
        <v>495</v>
      </c>
      <c r="R32" s="294">
        <v>0</v>
      </c>
      <c r="S32" s="292">
        <v>655014</v>
      </c>
      <c r="T32" s="293">
        <v>42340</v>
      </c>
      <c r="U32" s="294">
        <v>94049</v>
      </c>
      <c r="V32" s="294">
        <v>294</v>
      </c>
      <c r="W32" s="294">
        <v>0</v>
      </c>
      <c r="X32" s="292">
        <v>136683</v>
      </c>
      <c r="Y32" s="293">
        <v>41777</v>
      </c>
      <c r="Z32" s="294">
        <v>740658</v>
      </c>
      <c r="AA32" s="294">
        <v>127</v>
      </c>
      <c r="AB32" s="294">
        <v>0</v>
      </c>
      <c r="AC32" s="292">
        <v>782562</v>
      </c>
      <c r="AD32" s="293">
        <v>42470</v>
      </c>
      <c r="AE32" s="294">
        <v>793677</v>
      </c>
      <c r="AF32" s="294">
        <v>433</v>
      </c>
      <c r="AG32" s="294">
        <v>8</v>
      </c>
      <c r="AH32" s="292">
        <v>836588</v>
      </c>
      <c r="AI32" s="293">
        <v>63596</v>
      </c>
      <c r="AJ32" s="294">
        <v>110403</v>
      </c>
      <c r="AK32" s="294">
        <v>240</v>
      </c>
      <c r="AL32" s="294">
        <v>0</v>
      </c>
      <c r="AM32" s="292">
        <v>174239</v>
      </c>
      <c r="AN32" s="293">
        <v>57457</v>
      </c>
      <c r="AO32" s="294">
        <v>982087</v>
      </c>
      <c r="AP32" s="294">
        <v>103</v>
      </c>
      <c r="AQ32" s="294">
        <v>0</v>
      </c>
      <c r="AR32" s="292">
        <v>1039647</v>
      </c>
      <c r="AS32" s="293">
        <v>43483</v>
      </c>
      <c r="AT32" s="294">
        <v>677986</v>
      </c>
      <c r="AU32" s="294">
        <v>0</v>
      </c>
      <c r="AV32" s="294">
        <v>0</v>
      </c>
      <c r="AW32" s="292">
        <v>721469</v>
      </c>
      <c r="AX32" s="293">
        <v>79933</v>
      </c>
      <c r="AY32" s="294">
        <v>850901</v>
      </c>
      <c r="AZ32" s="294">
        <v>328</v>
      </c>
      <c r="BA32" s="294">
        <v>0</v>
      </c>
      <c r="BB32" s="292">
        <v>931162</v>
      </c>
      <c r="BC32" s="293">
        <v>35073</v>
      </c>
      <c r="BD32" s="294">
        <v>416</v>
      </c>
      <c r="BE32" s="294">
        <v>23</v>
      </c>
      <c r="BF32" s="294">
        <v>0</v>
      </c>
      <c r="BG32" s="292">
        <v>35512</v>
      </c>
      <c r="BH32" s="293">
        <v>49298</v>
      </c>
      <c r="BI32" s="294">
        <v>653203</v>
      </c>
      <c r="BJ32" s="294">
        <v>36</v>
      </c>
      <c r="BK32" s="294">
        <v>0</v>
      </c>
      <c r="BL32" s="292">
        <v>702537</v>
      </c>
      <c r="BM32" s="293">
        <v>83893</v>
      </c>
      <c r="BN32" s="294">
        <v>317013</v>
      </c>
      <c r="BO32" s="294">
        <v>158</v>
      </c>
      <c r="BP32" s="294">
        <v>3</v>
      </c>
      <c r="BQ32" s="292">
        <v>401067</v>
      </c>
      <c r="BR32" s="293">
        <v>615208</v>
      </c>
      <c r="BS32" s="291">
        <v>6309774</v>
      </c>
      <c r="BT32" s="294">
        <v>2237</v>
      </c>
      <c r="BU32" s="294">
        <v>11</v>
      </c>
      <c r="BV32" s="293">
        <v>6927230</v>
      </c>
      <c r="BW32" s="299"/>
      <c r="BX32" s="296">
        <v>100</v>
      </c>
      <c r="BZ32" s="245">
        <v>0</v>
      </c>
      <c r="CA32" s="245">
        <v>0</v>
      </c>
      <c r="CB32" s="245">
        <v>0</v>
      </c>
      <c r="CC32" s="245">
        <v>0</v>
      </c>
    </row>
    <row r="33" spans="1:81" ht="12.75" x14ac:dyDescent="0.2">
      <c r="A33" s="287">
        <v>27</v>
      </c>
      <c r="B33" s="301" t="s">
        <v>296</v>
      </c>
      <c r="D33" s="298"/>
      <c r="E33" s="290">
        <v>4745830</v>
      </c>
      <c r="F33" s="291">
        <v>2030324</v>
      </c>
      <c r="G33" s="291">
        <v>576725</v>
      </c>
      <c r="H33" s="291">
        <v>13768</v>
      </c>
      <c r="I33" s="292">
        <v>7366647</v>
      </c>
      <c r="J33" s="293">
        <v>152643</v>
      </c>
      <c r="K33" s="294">
        <v>126597</v>
      </c>
      <c r="L33" s="294">
        <v>69</v>
      </c>
      <c r="M33" s="294">
        <v>0</v>
      </c>
      <c r="N33" s="292">
        <v>279309</v>
      </c>
      <c r="O33" s="294">
        <v>413177</v>
      </c>
      <c r="P33" s="294">
        <v>141813</v>
      </c>
      <c r="Q33" s="294">
        <v>1106</v>
      </c>
      <c r="R33" s="294">
        <v>0</v>
      </c>
      <c r="S33" s="292">
        <v>556096</v>
      </c>
      <c r="T33" s="293">
        <v>303803</v>
      </c>
      <c r="U33" s="294">
        <v>64958</v>
      </c>
      <c r="V33" s="294">
        <v>26154</v>
      </c>
      <c r="W33" s="294">
        <v>0</v>
      </c>
      <c r="X33" s="292">
        <v>394915</v>
      </c>
      <c r="Y33" s="293">
        <v>463602</v>
      </c>
      <c r="Z33" s="294">
        <v>110638</v>
      </c>
      <c r="AA33" s="294">
        <v>17527</v>
      </c>
      <c r="AB33" s="294">
        <v>0</v>
      </c>
      <c r="AC33" s="292">
        <v>591767</v>
      </c>
      <c r="AD33" s="293">
        <v>276602</v>
      </c>
      <c r="AE33" s="294">
        <v>64335</v>
      </c>
      <c r="AF33" s="294">
        <v>18336</v>
      </c>
      <c r="AG33" s="294">
        <v>0</v>
      </c>
      <c r="AH33" s="292">
        <v>359273</v>
      </c>
      <c r="AI33" s="293">
        <v>411961</v>
      </c>
      <c r="AJ33" s="294">
        <v>89756</v>
      </c>
      <c r="AK33" s="294">
        <v>26648</v>
      </c>
      <c r="AL33" s="294">
        <v>1534</v>
      </c>
      <c r="AM33" s="292">
        <v>529899</v>
      </c>
      <c r="AN33" s="293">
        <v>572272</v>
      </c>
      <c r="AO33" s="294">
        <v>186771</v>
      </c>
      <c r="AP33" s="294">
        <v>17033</v>
      </c>
      <c r="AQ33" s="294">
        <v>0</v>
      </c>
      <c r="AR33" s="292">
        <v>776076</v>
      </c>
      <c r="AS33" s="293">
        <v>294636</v>
      </c>
      <c r="AT33" s="294">
        <v>97982</v>
      </c>
      <c r="AU33" s="294">
        <v>16449</v>
      </c>
      <c r="AV33" s="294">
        <v>1</v>
      </c>
      <c r="AW33" s="292">
        <v>409068</v>
      </c>
      <c r="AX33" s="293">
        <v>538931</v>
      </c>
      <c r="AY33" s="294">
        <v>320168</v>
      </c>
      <c r="AZ33" s="294">
        <v>13730</v>
      </c>
      <c r="BA33" s="294">
        <v>0</v>
      </c>
      <c r="BB33" s="292">
        <v>872829</v>
      </c>
      <c r="BC33" s="293">
        <v>409919</v>
      </c>
      <c r="BD33" s="294">
        <v>257841</v>
      </c>
      <c r="BE33" s="294">
        <v>1188</v>
      </c>
      <c r="BF33" s="294">
        <v>0</v>
      </c>
      <c r="BG33" s="292">
        <v>668948</v>
      </c>
      <c r="BH33" s="293">
        <v>477368</v>
      </c>
      <c r="BI33" s="294">
        <v>186566</v>
      </c>
      <c r="BJ33" s="294">
        <v>30874</v>
      </c>
      <c r="BK33" s="294">
        <v>8</v>
      </c>
      <c r="BL33" s="292">
        <v>694816</v>
      </c>
      <c r="BM33" s="293">
        <v>430916</v>
      </c>
      <c r="BN33" s="294">
        <v>382899</v>
      </c>
      <c r="BO33" s="294">
        <v>407611</v>
      </c>
      <c r="BP33" s="294">
        <v>12225</v>
      </c>
      <c r="BQ33" s="292">
        <v>1233651</v>
      </c>
      <c r="BR33" s="293">
        <v>4745830</v>
      </c>
      <c r="BS33" s="291">
        <v>2030324</v>
      </c>
      <c r="BT33" s="294">
        <v>576725</v>
      </c>
      <c r="BU33" s="294">
        <v>13768</v>
      </c>
      <c r="BV33" s="293">
        <v>7366647</v>
      </c>
      <c r="BW33" s="299"/>
      <c r="BX33" s="296">
        <v>100</v>
      </c>
      <c r="BZ33" s="245">
        <v>0</v>
      </c>
      <c r="CA33" s="245">
        <v>0</v>
      </c>
      <c r="CB33" s="245">
        <v>0</v>
      </c>
      <c r="CC33" s="245">
        <v>0</v>
      </c>
    </row>
    <row r="34" spans="1:81" ht="12.75" x14ac:dyDescent="0.2">
      <c r="A34" s="287">
        <v>28</v>
      </c>
      <c r="B34" s="301" t="s">
        <v>297</v>
      </c>
      <c r="D34" s="289"/>
      <c r="E34" s="290">
        <v>1833326</v>
      </c>
      <c r="F34" s="291">
        <v>1338288</v>
      </c>
      <c r="G34" s="291">
        <v>43145</v>
      </c>
      <c r="H34" s="291">
        <v>1118</v>
      </c>
      <c r="I34" s="292">
        <v>3215877</v>
      </c>
      <c r="J34" s="293">
        <v>125523</v>
      </c>
      <c r="K34" s="294">
        <v>292413</v>
      </c>
      <c r="L34" s="294">
        <v>628</v>
      </c>
      <c r="M34" s="294">
        <v>1</v>
      </c>
      <c r="N34" s="292">
        <v>418565</v>
      </c>
      <c r="O34" s="294">
        <v>149186</v>
      </c>
      <c r="P34" s="294">
        <v>2085</v>
      </c>
      <c r="Q34" s="294">
        <v>2847</v>
      </c>
      <c r="R34" s="294">
        <v>60</v>
      </c>
      <c r="S34" s="292">
        <v>154178</v>
      </c>
      <c r="T34" s="293">
        <v>133260</v>
      </c>
      <c r="U34" s="294">
        <v>52148</v>
      </c>
      <c r="V34" s="294">
        <v>379</v>
      </c>
      <c r="W34" s="294">
        <v>114</v>
      </c>
      <c r="X34" s="292">
        <v>185901</v>
      </c>
      <c r="Y34" s="293">
        <v>161126</v>
      </c>
      <c r="Z34" s="294">
        <v>2994</v>
      </c>
      <c r="AA34" s="294">
        <v>10417</v>
      </c>
      <c r="AB34" s="294">
        <v>-3</v>
      </c>
      <c r="AC34" s="292">
        <v>174534</v>
      </c>
      <c r="AD34" s="293">
        <v>142292</v>
      </c>
      <c r="AE34" s="294">
        <v>296631</v>
      </c>
      <c r="AF34" s="294">
        <v>2945</v>
      </c>
      <c r="AG34" s="294">
        <v>43</v>
      </c>
      <c r="AH34" s="292">
        <v>441911</v>
      </c>
      <c r="AI34" s="293">
        <v>153646</v>
      </c>
      <c r="AJ34" s="294">
        <v>5014</v>
      </c>
      <c r="AK34" s="294">
        <v>3527</v>
      </c>
      <c r="AL34" s="294">
        <v>12</v>
      </c>
      <c r="AM34" s="292">
        <v>162199</v>
      </c>
      <c r="AN34" s="293">
        <v>150328</v>
      </c>
      <c r="AO34" s="294">
        <v>324248</v>
      </c>
      <c r="AP34" s="294">
        <v>5471</v>
      </c>
      <c r="AQ34" s="294">
        <v>25</v>
      </c>
      <c r="AR34" s="292">
        <v>480072</v>
      </c>
      <c r="AS34" s="293">
        <v>155752</v>
      </c>
      <c r="AT34" s="294">
        <v>17774</v>
      </c>
      <c r="AU34" s="294">
        <v>1157</v>
      </c>
      <c r="AV34" s="294">
        <v>5</v>
      </c>
      <c r="AW34" s="292">
        <v>174688</v>
      </c>
      <c r="AX34" s="293">
        <v>150059</v>
      </c>
      <c r="AY34" s="294">
        <v>24462</v>
      </c>
      <c r="AZ34" s="294">
        <v>819</v>
      </c>
      <c r="BA34" s="294">
        <v>3</v>
      </c>
      <c r="BB34" s="292">
        <v>175343</v>
      </c>
      <c r="BC34" s="293">
        <v>138742</v>
      </c>
      <c r="BD34" s="294">
        <v>37393</v>
      </c>
      <c r="BE34" s="294">
        <v>764</v>
      </c>
      <c r="BF34" s="294">
        <v>2</v>
      </c>
      <c r="BG34" s="292">
        <v>176901</v>
      </c>
      <c r="BH34" s="293">
        <v>161193</v>
      </c>
      <c r="BI34" s="294">
        <v>251978</v>
      </c>
      <c r="BJ34" s="294">
        <v>6054</v>
      </c>
      <c r="BK34" s="294">
        <v>2</v>
      </c>
      <c r="BL34" s="292">
        <v>419227</v>
      </c>
      <c r="BM34" s="293">
        <v>212219</v>
      </c>
      <c r="BN34" s="294">
        <v>31148</v>
      </c>
      <c r="BO34" s="294">
        <v>8137</v>
      </c>
      <c r="BP34" s="294">
        <v>854</v>
      </c>
      <c r="BQ34" s="292">
        <v>252358</v>
      </c>
      <c r="BR34" s="293">
        <v>1833326</v>
      </c>
      <c r="BS34" s="291">
        <v>1338288</v>
      </c>
      <c r="BT34" s="294">
        <v>43145</v>
      </c>
      <c r="BU34" s="294">
        <v>1118</v>
      </c>
      <c r="BV34" s="293">
        <v>3215877</v>
      </c>
      <c r="BW34" s="299"/>
      <c r="BX34" s="296">
        <v>100</v>
      </c>
      <c r="BZ34" s="245">
        <v>0</v>
      </c>
      <c r="CA34" s="245">
        <v>0</v>
      </c>
      <c r="CB34" s="245">
        <v>0</v>
      </c>
      <c r="CC34" s="245">
        <v>0</v>
      </c>
    </row>
    <row r="35" spans="1:81" ht="12.75" x14ac:dyDescent="0.2">
      <c r="A35" s="287">
        <v>29</v>
      </c>
      <c r="B35" s="288" t="s">
        <v>298</v>
      </c>
      <c r="D35" s="289"/>
      <c r="E35" s="290">
        <v>937330</v>
      </c>
      <c r="F35" s="291">
        <v>1048651</v>
      </c>
      <c r="G35" s="291">
        <v>2238</v>
      </c>
      <c r="H35" s="291">
        <v>73</v>
      </c>
      <c r="I35" s="292">
        <v>1988292</v>
      </c>
      <c r="J35" s="293">
        <v>91734</v>
      </c>
      <c r="K35" s="294">
        <v>200010</v>
      </c>
      <c r="L35" s="294">
        <v>133</v>
      </c>
      <c r="M35" s="294">
        <v>0</v>
      </c>
      <c r="N35" s="292">
        <v>291877</v>
      </c>
      <c r="O35" s="294">
        <v>71355</v>
      </c>
      <c r="P35" s="294">
        <v>76379</v>
      </c>
      <c r="Q35" s="294">
        <v>569</v>
      </c>
      <c r="R35" s="294">
        <v>0</v>
      </c>
      <c r="S35" s="292">
        <v>148303</v>
      </c>
      <c r="T35" s="293">
        <v>81849</v>
      </c>
      <c r="U35" s="294">
        <v>64821</v>
      </c>
      <c r="V35" s="294">
        <v>0</v>
      </c>
      <c r="W35" s="294">
        <v>0</v>
      </c>
      <c r="X35" s="292">
        <v>146670</v>
      </c>
      <c r="Y35" s="293">
        <v>81415</v>
      </c>
      <c r="Z35" s="294">
        <v>163708</v>
      </c>
      <c r="AA35" s="294">
        <v>268</v>
      </c>
      <c r="AB35" s="294">
        <v>0</v>
      </c>
      <c r="AC35" s="292">
        <v>245391</v>
      </c>
      <c r="AD35" s="293">
        <v>70428</v>
      </c>
      <c r="AE35" s="294">
        <v>77762</v>
      </c>
      <c r="AF35" s="294">
        <v>34</v>
      </c>
      <c r="AG35" s="294">
        <v>0</v>
      </c>
      <c r="AH35" s="292">
        <v>148224</v>
      </c>
      <c r="AI35" s="293">
        <v>72692</v>
      </c>
      <c r="AJ35" s="294">
        <v>62024</v>
      </c>
      <c r="AK35" s="294">
        <v>49</v>
      </c>
      <c r="AL35" s="294">
        <v>0</v>
      </c>
      <c r="AM35" s="292">
        <v>134765</v>
      </c>
      <c r="AN35" s="293">
        <v>87051</v>
      </c>
      <c r="AO35" s="294">
        <v>62856</v>
      </c>
      <c r="AP35" s="294">
        <v>195</v>
      </c>
      <c r="AQ35" s="294">
        <v>3</v>
      </c>
      <c r="AR35" s="292">
        <v>150105</v>
      </c>
      <c r="AS35" s="293">
        <v>73365</v>
      </c>
      <c r="AT35" s="294">
        <v>55587</v>
      </c>
      <c r="AU35" s="294">
        <v>267</v>
      </c>
      <c r="AV35" s="294">
        <v>70</v>
      </c>
      <c r="AW35" s="292">
        <v>129289</v>
      </c>
      <c r="AX35" s="293">
        <v>84975</v>
      </c>
      <c r="AY35" s="294">
        <v>66619</v>
      </c>
      <c r="AZ35" s="294">
        <v>74</v>
      </c>
      <c r="BA35" s="294">
        <v>0</v>
      </c>
      <c r="BB35" s="292">
        <v>151668</v>
      </c>
      <c r="BC35" s="293">
        <v>88293</v>
      </c>
      <c r="BD35" s="294">
        <v>72994</v>
      </c>
      <c r="BE35" s="294">
        <v>177</v>
      </c>
      <c r="BF35" s="294">
        <v>0</v>
      </c>
      <c r="BG35" s="292">
        <v>161464</v>
      </c>
      <c r="BH35" s="293">
        <v>71273</v>
      </c>
      <c r="BI35" s="294">
        <v>75565</v>
      </c>
      <c r="BJ35" s="294">
        <v>433</v>
      </c>
      <c r="BK35" s="294">
        <v>0</v>
      </c>
      <c r="BL35" s="292">
        <v>147271</v>
      </c>
      <c r="BM35" s="293">
        <v>62900</v>
      </c>
      <c r="BN35" s="294">
        <v>70326</v>
      </c>
      <c r="BO35" s="294">
        <v>39</v>
      </c>
      <c r="BP35" s="294">
        <v>0</v>
      </c>
      <c r="BQ35" s="292">
        <v>133265</v>
      </c>
      <c r="BR35" s="293">
        <v>937330</v>
      </c>
      <c r="BS35" s="291">
        <v>1048651</v>
      </c>
      <c r="BT35" s="294">
        <v>2238</v>
      </c>
      <c r="BU35" s="294">
        <v>73</v>
      </c>
      <c r="BV35" s="293">
        <v>1988292</v>
      </c>
      <c r="BW35" s="299"/>
      <c r="BX35" s="296">
        <v>100</v>
      </c>
      <c r="BZ35" s="245">
        <v>0</v>
      </c>
      <c r="CA35" s="245">
        <v>0</v>
      </c>
      <c r="CB35" s="245">
        <v>0</v>
      </c>
      <c r="CC35" s="245">
        <v>0</v>
      </c>
    </row>
    <row r="36" spans="1:81" ht="12.75" x14ac:dyDescent="0.2">
      <c r="A36" s="287">
        <v>30</v>
      </c>
      <c r="B36" s="288" t="s">
        <v>299</v>
      </c>
      <c r="D36" s="289"/>
      <c r="E36" s="290">
        <v>530935</v>
      </c>
      <c r="F36" s="291">
        <v>7513932</v>
      </c>
      <c r="G36" s="291">
        <v>7541</v>
      </c>
      <c r="H36" s="291">
        <v>89</v>
      </c>
      <c r="I36" s="292">
        <v>8052497</v>
      </c>
      <c r="J36" s="293">
        <v>34532</v>
      </c>
      <c r="K36" s="294">
        <v>842756</v>
      </c>
      <c r="L36" s="294">
        <v>3</v>
      </c>
      <c r="M36" s="294">
        <v>0</v>
      </c>
      <c r="N36" s="292">
        <v>877291</v>
      </c>
      <c r="O36" s="294">
        <v>36142</v>
      </c>
      <c r="P36" s="294">
        <v>30668</v>
      </c>
      <c r="Q36" s="294">
        <v>373</v>
      </c>
      <c r="R36" s="294">
        <v>0</v>
      </c>
      <c r="S36" s="292">
        <v>67183</v>
      </c>
      <c r="T36" s="293">
        <v>40271</v>
      </c>
      <c r="U36" s="294">
        <v>225000</v>
      </c>
      <c r="V36" s="294">
        <v>1296</v>
      </c>
      <c r="W36" s="294">
        <v>0</v>
      </c>
      <c r="X36" s="292">
        <v>266567</v>
      </c>
      <c r="Y36" s="293">
        <v>40131</v>
      </c>
      <c r="Z36" s="294">
        <v>744276</v>
      </c>
      <c r="AA36" s="294">
        <v>1178</v>
      </c>
      <c r="AB36" s="294">
        <v>1</v>
      </c>
      <c r="AC36" s="292">
        <v>785586</v>
      </c>
      <c r="AD36" s="293">
        <v>47254</v>
      </c>
      <c r="AE36" s="294">
        <v>1822059</v>
      </c>
      <c r="AF36" s="294">
        <v>2066</v>
      </c>
      <c r="AG36" s="294">
        <v>1</v>
      </c>
      <c r="AH36" s="292">
        <v>1871380</v>
      </c>
      <c r="AI36" s="293">
        <v>37249</v>
      </c>
      <c r="AJ36" s="294">
        <v>191665</v>
      </c>
      <c r="AK36" s="294">
        <v>1331</v>
      </c>
      <c r="AL36" s="294">
        <v>7</v>
      </c>
      <c r="AM36" s="292">
        <v>230252</v>
      </c>
      <c r="AN36" s="293">
        <v>44257</v>
      </c>
      <c r="AO36" s="294">
        <v>989373</v>
      </c>
      <c r="AP36" s="294">
        <v>541</v>
      </c>
      <c r="AQ36" s="294">
        <v>0</v>
      </c>
      <c r="AR36" s="292">
        <v>1034171</v>
      </c>
      <c r="AS36" s="293">
        <v>40090</v>
      </c>
      <c r="AT36" s="294">
        <v>934184</v>
      </c>
      <c r="AU36" s="294">
        <v>221</v>
      </c>
      <c r="AV36" s="294">
        <v>19</v>
      </c>
      <c r="AW36" s="292">
        <v>974514</v>
      </c>
      <c r="AX36" s="293">
        <v>50402</v>
      </c>
      <c r="AY36" s="294">
        <v>268026</v>
      </c>
      <c r="AZ36" s="294">
        <v>407</v>
      </c>
      <c r="BA36" s="294">
        <v>3</v>
      </c>
      <c r="BB36" s="292">
        <v>318838</v>
      </c>
      <c r="BC36" s="293">
        <v>60221</v>
      </c>
      <c r="BD36" s="294">
        <v>511200</v>
      </c>
      <c r="BE36" s="294">
        <v>-840</v>
      </c>
      <c r="BF36" s="294">
        <v>0</v>
      </c>
      <c r="BG36" s="292">
        <v>570581</v>
      </c>
      <c r="BH36" s="293">
        <v>39125</v>
      </c>
      <c r="BI36" s="294">
        <v>113179</v>
      </c>
      <c r="BJ36" s="294">
        <v>187</v>
      </c>
      <c r="BK36" s="294">
        <v>55</v>
      </c>
      <c r="BL36" s="292">
        <v>152546</v>
      </c>
      <c r="BM36" s="293">
        <v>61261</v>
      </c>
      <c r="BN36" s="294">
        <v>841546</v>
      </c>
      <c r="BO36" s="294">
        <v>778</v>
      </c>
      <c r="BP36" s="294">
        <v>3</v>
      </c>
      <c r="BQ36" s="292">
        <v>903588</v>
      </c>
      <c r="BR36" s="293">
        <v>530935</v>
      </c>
      <c r="BS36" s="291">
        <v>7513932</v>
      </c>
      <c r="BT36" s="294">
        <v>7541</v>
      </c>
      <c r="BU36" s="294">
        <v>89</v>
      </c>
      <c r="BV36" s="293">
        <v>8052497</v>
      </c>
      <c r="BW36" s="299"/>
      <c r="BX36" s="296">
        <v>100</v>
      </c>
      <c r="BZ36" s="245">
        <v>0</v>
      </c>
      <c r="CA36" s="245">
        <v>0</v>
      </c>
      <c r="CB36" s="245">
        <v>0</v>
      </c>
      <c r="CC36" s="245">
        <v>0</v>
      </c>
    </row>
    <row r="37" spans="1:81" ht="12.75" x14ac:dyDescent="0.2">
      <c r="A37" s="287">
        <v>31</v>
      </c>
      <c r="B37" s="262" t="s">
        <v>251</v>
      </c>
      <c r="D37" s="309"/>
      <c r="E37" s="290">
        <v>198825</v>
      </c>
      <c r="F37" s="291">
        <v>2025730</v>
      </c>
      <c r="G37" s="291">
        <v>4224</v>
      </c>
      <c r="H37" s="291">
        <v>0</v>
      </c>
      <c r="I37" s="292">
        <v>2228779</v>
      </c>
      <c r="J37" s="293">
        <v>15388</v>
      </c>
      <c r="K37" s="294">
        <v>13938</v>
      </c>
      <c r="L37" s="294">
        <v>72</v>
      </c>
      <c r="M37" s="294">
        <v>0</v>
      </c>
      <c r="N37" s="292">
        <v>29398</v>
      </c>
      <c r="O37" s="294">
        <v>16666</v>
      </c>
      <c r="P37" s="294">
        <v>219455</v>
      </c>
      <c r="Q37" s="294">
        <v>307</v>
      </c>
      <c r="R37" s="294">
        <v>0</v>
      </c>
      <c r="S37" s="292">
        <v>236428</v>
      </c>
      <c r="T37" s="293">
        <v>15258</v>
      </c>
      <c r="U37" s="294">
        <v>105476</v>
      </c>
      <c r="V37" s="294">
        <v>221</v>
      </c>
      <c r="W37" s="294">
        <v>0</v>
      </c>
      <c r="X37" s="292">
        <v>120955</v>
      </c>
      <c r="Y37" s="293">
        <v>16077</v>
      </c>
      <c r="Z37" s="294">
        <v>94055</v>
      </c>
      <c r="AA37" s="294">
        <v>258</v>
      </c>
      <c r="AB37" s="294">
        <v>0</v>
      </c>
      <c r="AC37" s="292">
        <v>110390</v>
      </c>
      <c r="AD37" s="293">
        <v>16832</v>
      </c>
      <c r="AE37" s="294">
        <v>87256</v>
      </c>
      <c r="AF37" s="294">
        <v>236</v>
      </c>
      <c r="AG37" s="294">
        <v>0</v>
      </c>
      <c r="AH37" s="292">
        <v>104324</v>
      </c>
      <c r="AI37" s="293">
        <v>17925</v>
      </c>
      <c r="AJ37" s="294">
        <v>286705</v>
      </c>
      <c r="AK37" s="294">
        <v>455</v>
      </c>
      <c r="AL37" s="294">
        <v>0</v>
      </c>
      <c r="AM37" s="292">
        <v>305085</v>
      </c>
      <c r="AN37" s="293">
        <v>17846</v>
      </c>
      <c r="AO37" s="294">
        <v>109300</v>
      </c>
      <c r="AP37" s="294">
        <v>229</v>
      </c>
      <c r="AQ37" s="294">
        <v>0</v>
      </c>
      <c r="AR37" s="292">
        <v>127375</v>
      </c>
      <c r="AS37" s="293">
        <v>16164</v>
      </c>
      <c r="AT37" s="294">
        <v>668565</v>
      </c>
      <c r="AU37" s="294">
        <v>299</v>
      </c>
      <c r="AV37" s="294">
        <v>0</v>
      </c>
      <c r="AW37" s="292">
        <v>685028</v>
      </c>
      <c r="AX37" s="293">
        <v>16490</v>
      </c>
      <c r="AY37" s="294">
        <v>125650</v>
      </c>
      <c r="AZ37" s="294">
        <v>111</v>
      </c>
      <c r="BA37" s="294">
        <v>0</v>
      </c>
      <c r="BB37" s="292">
        <v>142251</v>
      </c>
      <c r="BC37" s="293">
        <v>14092</v>
      </c>
      <c r="BD37" s="294">
        <v>90173</v>
      </c>
      <c r="BE37" s="294">
        <v>210</v>
      </c>
      <c r="BF37" s="294">
        <v>0</v>
      </c>
      <c r="BG37" s="292">
        <v>104475</v>
      </c>
      <c r="BH37" s="293">
        <v>17159</v>
      </c>
      <c r="BI37" s="294">
        <v>53747</v>
      </c>
      <c r="BJ37" s="294">
        <v>577</v>
      </c>
      <c r="BK37" s="294">
        <v>0</v>
      </c>
      <c r="BL37" s="292">
        <v>71483</v>
      </c>
      <c r="BM37" s="293">
        <v>18928</v>
      </c>
      <c r="BN37" s="294">
        <v>171410</v>
      </c>
      <c r="BO37" s="294">
        <v>1249</v>
      </c>
      <c r="BP37" s="294">
        <v>0</v>
      </c>
      <c r="BQ37" s="292">
        <v>191587</v>
      </c>
      <c r="BR37" s="293">
        <v>198825</v>
      </c>
      <c r="BS37" s="291">
        <v>2025730</v>
      </c>
      <c r="BT37" s="294">
        <v>4224</v>
      </c>
      <c r="BU37" s="294">
        <v>0</v>
      </c>
      <c r="BV37" s="293">
        <v>2228779</v>
      </c>
      <c r="BW37" s="299"/>
      <c r="BX37" s="296">
        <v>100</v>
      </c>
      <c r="BZ37" s="245">
        <v>0</v>
      </c>
      <c r="CA37" s="245">
        <v>0</v>
      </c>
      <c r="CB37" s="245">
        <v>0</v>
      </c>
      <c r="CC37" s="245">
        <v>0</v>
      </c>
    </row>
    <row r="38" spans="1:81" ht="12.75" x14ac:dyDescent="0.2">
      <c r="A38" s="287">
        <v>32</v>
      </c>
      <c r="B38" s="262" t="s">
        <v>300</v>
      </c>
      <c r="D38" s="289"/>
      <c r="E38" s="290">
        <v>561330</v>
      </c>
      <c r="F38" s="291">
        <v>1052672</v>
      </c>
      <c r="G38" s="291">
        <v>6881</v>
      </c>
      <c r="H38" s="291">
        <v>1</v>
      </c>
      <c r="I38" s="292">
        <v>1620884</v>
      </c>
      <c r="J38" s="293">
        <v>27245</v>
      </c>
      <c r="K38" s="294">
        <v>218820</v>
      </c>
      <c r="L38" s="294">
        <v>944</v>
      </c>
      <c r="M38" s="294">
        <v>0</v>
      </c>
      <c r="N38" s="292">
        <v>247009</v>
      </c>
      <c r="O38" s="294">
        <v>32341</v>
      </c>
      <c r="P38" s="294">
        <v>112743</v>
      </c>
      <c r="Q38" s="294">
        <v>204</v>
      </c>
      <c r="R38" s="294">
        <v>0</v>
      </c>
      <c r="S38" s="292">
        <v>145288</v>
      </c>
      <c r="T38" s="293">
        <v>22715</v>
      </c>
      <c r="U38" s="294">
        <v>25790</v>
      </c>
      <c r="V38" s="294">
        <v>4</v>
      </c>
      <c r="W38" s="294">
        <v>0</v>
      </c>
      <c r="X38" s="292">
        <v>48509</v>
      </c>
      <c r="Y38" s="293">
        <v>27493</v>
      </c>
      <c r="Z38" s="294">
        <v>241509</v>
      </c>
      <c r="AA38" s="294">
        <v>381</v>
      </c>
      <c r="AB38" s="294">
        <v>0</v>
      </c>
      <c r="AC38" s="292">
        <v>269383</v>
      </c>
      <c r="AD38" s="293">
        <v>25967</v>
      </c>
      <c r="AE38" s="294">
        <v>342</v>
      </c>
      <c r="AF38" s="294">
        <v>84</v>
      </c>
      <c r="AG38" s="294">
        <v>0</v>
      </c>
      <c r="AH38" s="292">
        <v>26393</v>
      </c>
      <c r="AI38" s="293">
        <v>24845</v>
      </c>
      <c r="AJ38" s="294">
        <v>247</v>
      </c>
      <c r="AK38" s="294">
        <v>148</v>
      </c>
      <c r="AL38" s="294">
        <v>0</v>
      </c>
      <c r="AM38" s="292">
        <v>25240</v>
      </c>
      <c r="AN38" s="293">
        <v>26673</v>
      </c>
      <c r="AO38" s="294">
        <v>207509</v>
      </c>
      <c r="AP38" s="294">
        <v>361</v>
      </c>
      <c r="AQ38" s="294">
        <v>0</v>
      </c>
      <c r="AR38" s="292">
        <v>234543</v>
      </c>
      <c r="AS38" s="293">
        <v>31686</v>
      </c>
      <c r="AT38" s="294">
        <v>88</v>
      </c>
      <c r="AU38" s="294">
        <v>82</v>
      </c>
      <c r="AV38" s="294">
        <v>1</v>
      </c>
      <c r="AW38" s="292">
        <v>31857</v>
      </c>
      <c r="AX38" s="293">
        <v>25445</v>
      </c>
      <c r="AY38" s="294">
        <v>6687</v>
      </c>
      <c r="AZ38" s="294">
        <v>254</v>
      </c>
      <c r="BA38" s="294">
        <v>0</v>
      </c>
      <c r="BB38" s="292">
        <v>32386</v>
      </c>
      <c r="BC38" s="293">
        <v>89340</v>
      </c>
      <c r="BD38" s="294">
        <v>214444</v>
      </c>
      <c r="BE38" s="294">
        <v>1142</v>
      </c>
      <c r="BF38" s="294">
        <v>0</v>
      </c>
      <c r="BG38" s="292">
        <v>304926</v>
      </c>
      <c r="BH38" s="293">
        <v>33068</v>
      </c>
      <c r="BI38" s="294">
        <v>24067</v>
      </c>
      <c r="BJ38" s="294">
        <v>253</v>
      </c>
      <c r="BK38" s="294">
        <v>0</v>
      </c>
      <c r="BL38" s="292">
        <v>57388</v>
      </c>
      <c r="BM38" s="293">
        <v>194512</v>
      </c>
      <c r="BN38" s="294">
        <v>426</v>
      </c>
      <c r="BO38" s="294">
        <v>3024</v>
      </c>
      <c r="BP38" s="294">
        <v>0</v>
      </c>
      <c r="BQ38" s="292">
        <v>197962</v>
      </c>
      <c r="BR38" s="293">
        <v>561330</v>
      </c>
      <c r="BS38" s="291">
        <v>1052672</v>
      </c>
      <c r="BT38" s="294">
        <v>6881</v>
      </c>
      <c r="BU38" s="294">
        <v>1</v>
      </c>
      <c r="BV38" s="293">
        <v>1620884</v>
      </c>
      <c r="BW38" s="299"/>
      <c r="BX38" s="296">
        <v>100</v>
      </c>
      <c r="BZ38" s="245">
        <v>0</v>
      </c>
      <c r="CA38" s="245">
        <v>0</v>
      </c>
      <c r="CB38" s="245">
        <v>0</v>
      </c>
      <c r="CC38" s="245">
        <v>0</v>
      </c>
    </row>
    <row r="39" spans="1:81" ht="12.75" x14ac:dyDescent="0.2">
      <c r="A39" s="287">
        <v>33</v>
      </c>
      <c r="B39" s="288" t="s">
        <v>253</v>
      </c>
      <c r="D39" s="289"/>
      <c r="E39" s="290">
        <v>864723</v>
      </c>
      <c r="F39" s="291">
        <v>1499202</v>
      </c>
      <c r="G39" s="291">
        <v>20035</v>
      </c>
      <c r="H39" s="291">
        <v>432</v>
      </c>
      <c r="I39" s="292">
        <v>2384392</v>
      </c>
      <c r="J39" s="293">
        <v>44361</v>
      </c>
      <c r="K39" s="294">
        <v>996606</v>
      </c>
      <c r="L39" s="294">
        <v>406</v>
      </c>
      <c r="M39" s="294">
        <v>7</v>
      </c>
      <c r="N39" s="292">
        <v>1041380</v>
      </c>
      <c r="O39" s="294">
        <v>64944</v>
      </c>
      <c r="P39" s="294">
        <v>14664</v>
      </c>
      <c r="Q39" s="294">
        <v>5626</v>
      </c>
      <c r="R39" s="294">
        <v>0</v>
      </c>
      <c r="S39" s="292">
        <v>85234</v>
      </c>
      <c r="T39" s="293">
        <v>37975</v>
      </c>
      <c r="U39" s="294">
        <v>11382</v>
      </c>
      <c r="V39" s="294">
        <v>-2692</v>
      </c>
      <c r="W39" s="294">
        <v>0</v>
      </c>
      <c r="X39" s="292">
        <v>46665</v>
      </c>
      <c r="Y39" s="293">
        <v>92749</v>
      </c>
      <c r="Z39" s="294">
        <v>68112</v>
      </c>
      <c r="AA39" s="294">
        <v>751</v>
      </c>
      <c r="AB39" s="294">
        <v>84</v>
      </c>
      <c r="AC39" s="292">
        <v>161696</v>
      </c>
      <c r="AD39" s="293">
        <v>73183</v>
      </c>
      <c r="AE39" s="294">
        <v>882</v>
      </c>
      <c r="AF39" s="294">
        <v>252</v>
      </c>
      <c r="AG39" s="294">
        <v>0</v>
      </c>
      <c r="AH39" s="292">
        <v>74317</v>
      </c>
      <c r="AI39" s="293">
        <v>69083</v>
      </c>
      <c r="AJ39" s="294">
        <v>5568</v>
      </c>
      <c r="AK39" s="294">
        <v>585</v>
      </c>
      <c r="AL39" s="294">
        <v>0</v>
      </c>
      <c r="AM39" s="292">
        <v>75236</v>
      </c>
      <c r="AN39" s="293">
        <v>87047</v>
      </c>
      <c r="AO39" s="294">
        <v>86232</v>
      </c>
      <c r="AP39" s="294">
        <v>8938</v>
      </c>
      <c r="AQ39" s="294">
        <v>0</v>
      </c>
      <c r="AR39" s="292">
        <v>182217</v>
      </c>
      <c r="AS39" s="293">
        <v>70269</v>
      </c>
      <c r="AT39" s="294">
        <v>16648</v>
      </c>
      <c r="AU39" s="294">
        <v>399</v>
      </c>
      <c r="AV39" s="294">
        <v>0</v>
      </c>
      <c r="AW39" s="292">
        <v>87316</v>
      </c>
      <c r="AX39" s="293">
        <v>66781</v>
      </c>
      <c r="AY39" s="294">
        <v>40172</v>
      </c>
      <c r="AZ39" s="294">
        <v>637</v>
      </c>
      <c r="BA39" s="294">
        <v>0</v>
      </c>
      <c r="BB39" s="292">
        <v>107590</v>
      </c>
      <c r="BC39" s="293">
        <v>37961</v>
      </c>
      <c r="BD39" s="294">
        <v>86572</v>
      </c>
      <c r="BE39" s="294">
        <v>599</v>
      </c>
      <c r="BF39" s="294">
        <v>0</v>
      </c>
      <c r="BG39" s="292">
        <v>125132</v>
      </c>
      <c r="BH39" s="293">
        <v>77177</v>
      </c>
      <c r="BI39" s="294">
        <v>69718</v>
      </c>
      <c r="BJ39" s="294">
        <v>201</v>
      </c>
      <c r="BK39" s="294">
        <v>0</v>
      </c>
      <c r="BL39" s="292">
        <v>147096</v>
      </c>
      <c r="BM39" s="293">
        <v>143193</v>
      </c>
      <c r="BN39" s="294">
        <v>102646</v>
      </c>
      <c r="BO39" s="294">
        <v>4333</v>
      </c>
      <c r="BP39" s="294">
        <v>341</v>
      </c>
      <c r="BQ39" s="292">
        <v>250513</v>
      </c>
      <c r="BR39" s="293">
        <v>864723</v>
      </c>
      <c r="BS39" s="291">
        <v>1499202</v>
      </c>
      <c r="BT39" s="294">
        <v>20035</v>
      </c>
      <c r="BU39" s="294">
        <v>432</v>
      </c>
      <c r="BV39" s="293">
        <v>2384392</v>
      </c>
      <c r="BW39" s="299"/>
      <c r="BX39" s="296">
        <v>100</v>
      </c>
      <c r="BZ39" s="245">
        <v>0</v>
      </c>
      <c r="CA39" s="245">
        <v>0</v>
      </c>
      <c r="CB39" s="245">
        <v>0</v>
      </c>
      <c r="CC39" s="245">
        <v>0</v>
      </c>
    </row>
    <row r="40" spans="1:81" ht="12" customHeight="1" x14ac:dyDescent="0.2">
      <c r="A40" s="287">
        <v>34</v>
      </c>
      <c r="B40" s="262" t="s">
        <v>301</v>
      </c>
      <c r="D40" s="289"/>
      <c r="E40" s="290">
        <v>1684263</v>
      </c>
      <c r="F40" s="291">
        <v>8259005</v>
      </c>
      <c r="G40" s="291">
        <v>11817</v>
      </c>
      <c r="H40" s="291">
        <v>14521</v>
      </c>
      <c r="I40" s="292">
        <v>9969606</v>
      </c>
      <c r="J40" s="293">
        <v>114852</v>
      </c>
      <c r="K40" s="294">
        <v>1113915</v>
      </c>
      <c r="L40" s="294">
        <v>0</v>
      </c>
      <c r="M40" s="294">
        <v>0</v>
      </c>
      <c r="N40" s="292">
        <v>1228767</v>
      </c>
      <c r="O40" s="294">
        <v>132340</v>
      </c>
      <c r="P40" s="294">
        <v>365422</v>
      </c>
      <c r="Q40" s="294">
        <v>509</v>
      </c>
      <c r="R40" s="294">
        <v>0</v>
      </c>
      <c r="S40" s="292">
        <v>498271</v>
      </c>
      <c r="T40" s="293">
        <v>129816</v>
      </c>
      <c r="U40" s="294">
        <v>672401</v>
      </c>
      <c r="V40" s="294">
        <v>14</v>
      </c>
      <c r="W40" s="294">
        <v>3</v>
      </c>
      <c r="X40" s="292">
        <v>802234</v>
      </c>
      <c r="Y40" s="293">
        <v>141324</v>
      </c>
      <c r="Z40" s="294">
        <v>705406</v>
      </c>
      <c r="AA40" s="294">
        <v>163</v>
      </c>
      <c r="AB40" s="294">
        <v>0</v>
      </c>
      <c r="AC40" s="292">
        <v>846893</v>
      </c>
      <c r="AD40" s="293">
        <v>130851</v>
      </c>
      <c r="AE40" s="294">
        <v>328117</v>
      </c>
      <c r="AF40" s="294">
        <v>-52</v>
      </c>
      <c r="AG40" s="294">
        <v>0</v>
      </c>
      <c r="AH40" s="292">
        <v>458916</v>
      </c>
      <c r="AI40" s="293">
        <v>123023</v>
      </c>
      <c r="AJ40" s="294">
        <v>399167</v>
      </c>
      <c r="AK40" s="294">
        <v>27</v>
      </c>
      <c r="AL40" s="294">
        <v>0</v>
      </c>
      <c r="AM40" s="292">
        <v>522217</v>
      </c>
      <c r="AN40" s="293">
        <v>154894</v>
      </c>
      <c r="AO40" s="294">
        <v>202814</v>
      </c>
      <c r="AP40" s="294">
        <v>20</v>
      </c>
      <c r="AQ40" s="294">
        <v>0</v>
      </c>
      <c r="AR40" s="292">
        <v>357728</v>
      </c>
      <c r="AS40" s="293">
        <v>150695</v>
      </c>
      <c r="AT40" s="294">
        <v>347296</v>
      </c>
      <c r="AU40" s="294">
        <v>8329</v>
      </c>
      <c r="AV40" s="294">
        <v>0</v>
      </c>
      <c r="AW40" s="292">
        <v>506320</v>
      </c>
      <c r="AX40" s="293">
        <v>128092</v>
      </c>
      <c r="AY40" s="294">
        <v>830909</v>
      </c>
      <c r="AZ40" s="294">
        <v>884</v>
      </c>
      <c r="BA40" s="294">
        <v>0</v>
      </c>
      <c r="BB40" s="292">
        <v>959885</v>
      </c>
      <c r="BC40" s="293">
        <v>136518</v>
      </c>
      <c r="BD40" s="294">
        <v>725871</v>
      </c>
      <c r="BE40" s="294">
        <v>362</v>
      </c>
      <c r="BF40" s="294">
        <v>0</v>
      </c>
      <c r="BG40" s="292">
        <v>862751</v>
      </c>
      <c r="BH40" s="293">
        <v>145302</v>
      </c>
      <c r="BI40" s="294">
        <v>542577</v>
      </c>
      <c r="BJ40" s="294">
        <v>926</v>
      </c>
      <c r="BK40" s="294">
        <v>0</v>
      </c>
      <c r="BL40" s="292">
        <v>688805</v>
      </c>
      <c r="BM40" s="293">
        <v>196556</v>
      </c>
      <c r="BN40" s="294">
        <v>2025110</v>
      </c>
      <c r="BO40" s="294">
        <v>635</v>
      </c>
      <c r="BP40" s="294">
        <v>14518</v>
      </c>
      <c r="BQ40" s="292">
        <v>2236819</v>
      </c>
      <c r="BR40" s="293">
        <v>1684263</v>
      </c>
      <c r="BS40" s="291">
        <v>8259005</v>
      </c>
      <c r="BT40" s="294">
        <v>11817</v>
      </c>
      <c r="BU40" s="294">
        <v>14521</v>
      </c>
      <c r="BV40" s="293">
        <v>9969606</v>
      </c>
      <c r="BW40" s="299"/>
      <c r="BX40" s="296">
        <v>100</v>
      </c>
      <c r="BZ40" s="245">
        <v>0</v>
      </c>
      <c r="CA40" s="245">
        <v>0</v>
      </c>
      <c r="CB40" s="245">
        <v>0</v>
      </c>
      <c r="CC40" s="245">
        <v>0</v>
      </c>
    </row>
    <row r="41" spans="1:81" ht="12.75" x14ac:dyDescent="0.2">
      <c r="A41" s="287">
        <v>35</v>
      </c>
      <c r="B41" s="288" t="s">
        <v>255</v>
      </c>
      <c r="D41" s="289"/>
      <c r="E41" s="290">
        <v>1348297</v>
      </c>
      <c r="F41" s="291">
        <v>62512600</v>
      </c>
      <c r="G41" s="291">
        <v>21367</v>
      </c>
      <c r="H41" s="291">
        <v>6347</v>
      </c>
      <c r="I41" s="292">
        <v>63888611</v>
      </c>
      <c r="J41" s="293">
        <v>51047</v>
      </c>
      <c r="K41" s="294">
        <v>2750093</v>
      </c>
      <c r="L41" s="294">
        <v>79</v>
      </c>
      <c r="M41" s="294">
        <v>0</v>
      </c>
      <c r="N41" s="292">
        <v>2801219</v>
      </c>
      <c r="O41" s="294">
        <v>83842</v>
      </c>
      <c r="P41" s="294">
        <v>7264640</v>
      </c>
      <c r="Q41" s="294">
        <v>997</v>
      </c>
      <c r="R41" s="294">
        <v>25</v>
      </c>
      <c r="S41" s="292">
        <v>7349504</v>
      </c>
      <c r="T41" s="293">
        <v>99081</v>
      </c>
      <c r="U41" s="294">
        <v>2940710</v>
      </c>
      <c r="V41" s="294">
        <v>294</v>
      </c>
      <c r="W41" s="294">
        <v>0</v>
      </c>
      <c r="X41" s="292">
        <v>3040085</v>
      </c>
      <c r="Y41" s="293">
        <v>71867</v>
      </c>
      <c r="Z41" s="294">
        <v>8264971</v>
      </c>
      <c r="AA41" s="294">
        <v>1115</v>
      </c>
      <c r="AB41" s="294">
        <v>2</v>
      </c>
      <c r="AC41" s="292">
        <v>8337955</v>
      </c>
      <c r="AD41" s="293">
        <v>105110</v>
      </c>
      <c r="AE41" s="294">
        <v>5682722</v>
      </c>
      <c r="AF41" s="294">
        <v>1352</v>
      </c>
      <c r="AG41" s="294">
        <v>8</v>
      </c>
      <c r="AH41" s="292">
        <v>5789192</v>
      </c>
      <c r="AI41" s="293">
        <v>66056</v>
      </c>
      <c r="AJ41" s="294">
        <v>2687767</v>
      </c>
      <c r="AK41" s="294">
        <v>1125</v>
      </c>
      <c r="AL41" s="294">
        <v>0</v>
      </c>
      <c r="AM41" s="292">
        <v>2754948</v>
      </c>
      <c r="AN41" s="293">
        <v>79589</v>
      </c>
      <c r="AO41" s="294">
        <v>7792822</v>
      </c>
      <c r="AP41" s="294">
        <v>1162</v>
      </c>
      <c r="AQ41" s="294">
        <v>9</v>
      </c>
      <c r="AR41" s="292">
        <v>7873582</v>
      </c>
      <c r="AS41" s="293">
        <v>106392</v>
      </c>
      <c r="AT41" s="294">
        <v>7469428</v>
      </c>
      <c r="AU41" s="294">
        <v>1000</v>
      </c>
      <c r="AV41" s="294">
        <v>0</v>
      </c>
      <c r="AW41" s="292">
        <v>7576820</v>
      </c>
      <c r="AX41" s="293">
        <v>111324</v>
      </c>
      <c r="AY41" s="294">
        <v>2538602</v>
      </c>
      <c r="AZ41" s="294">
        <v>916</v>
      </c>
      <c r="BA41" s="294">
        <v>0</v>
      </c>
      <c r="BB41" s="292">
        <v>2650842</v>
      </c>
      <c r="BC41" s="293">
        <v>47154</v>
      </c>
      <c r="BD41" s="294">
        <v>7997184</v>
      </c>
      <c r="BE41" s="294">
        <v>504</v>
      </c>
      <c r="BF41" s="294">
        <v>3</v>
      </c>
      <c r="BG41" s="292">
        <v>8044845</v>
      </c>
      <c r="BH41" s="293">
        <v>273927</v>
      </c>
      <c r="BI41" s="294">
        <v>2693160</v>
      </c>
      <c r="BJ41" s="294">
        <v>686</v>
      </c>
      <c r="BK41" s="294">
        <v>6089</v>
      </c>
      <c r="BL41" s="292">
        <v>2973862</v>
      </c>
      <c r="BM41" s="293">
        <v>252908</v>
      </c>
      <c r="BN41" s="294">
        <v>4430501</v>
      </c>
      <c r="BO41" s="294">
        <v>12137</v>
      </c>
      <c r="BP41" s="294">
        <v>211</v>
      </c>
      <c r="BQ41" s="292">
        <v>4695757</v>
      </c>
      <c r="BR41" s="293">
        <v>1348297</v>
      </c>
      <c r="BS41" s="291">
        <v>62512600</v>
      </c>
      <c r="BT41" s="294">
        <v>21367</v>
      </c>
      <c r="BU41" s="294">
        <v>6347</v>
      </c>
      <c r="BV41" s="293">
        <v>63888611</v>
      </c>
      <c r="BW41" s="299"/>
      <c r="BX41" s="296">
        <v>100</v>
      </c>
      <c r="BZ41" s="245">
        <v>0</v>
      </c>
      <c r="CA41" s="245">
        <v>0</v>
      </c>
      <c r="CB41" s="245">
        <v>0</v>
      </c>
      <c r="CC41" s="245">
        <v>0</v>
      </c>
    </row>
    <row r="42" spans="1:81" ht="12.75" x14ac:dyDescent="0.2">
      <c r="A42" s="287">
        <v>36</v>
      </c>
      <c r="B42" s="288" t="s">
        <v>256</v>
      </c>
      <c r="D42" s="289"/>
      <c r="E42" s="290">
        <v>3705515</v>
      </c>
      <c r="F42" s="291">
        <v>9116654</v>
      </c>
      <c r="G42" s="291">
        <v>2394699</v>
      </c>
      <c r="H42" s="291">
        <v>738</v>
      </c>
      <c r="I42" s="292">
        <v>15217606</v>
      </c>
      <c r="J42" s="293">
        <v>222359</v>
      </c>
      <c r="K42" s="294">
        <v>823699</v>
      </c>
      <c r="L42" s="294">
        <v>72483</v>
      </c>
      <c r="M42" s="294">
        <v>484</v>
      </c>
      <c r="N42" s="292">
        <v>1119025</v>
      </c>
      <c r="O42" s="294">
        <v>259052</v>
      </c>
      <c r="P42" s="294">
        <v>10820</v>
      </c>
      <c r="Q42" s="294">
        <v>95915</v>
      </c>
      <c r="R42" s="294">
        <v>6</v>
      </c>
      <c r="S42" s="292">
        <v>365793</v>
      </c>
      <c r="T42" s="293">
        <v>252724</v>
      </c>
      <c r="U42" s="294">
        <v>778268</v>
      </c>
      <c r="V42" s="294">
        <v>68287</v>
      </c>
      <c r="W42" s="294">
        <v>0</v>
      </c>
      <c r="X42" s="292">
        <v>1099279</v>
      </c>
      <c r="Y42" s="293">
        <v>260129</v>
      </c>
      <c r="Z42" s="294">
        <v>8357</v>
      </c>
      <c r="AA42" s="294">
        <v>97860</v>
      </c>
      <c r="AB42" s="294">
        <v>248</v>
      </c>
      <c r="AC42" s="292">
        <v>366594</v>
      </c>
      <c r="AD42" s="293">
        <v>180163</v>
      </c>
      <c r="AE42" s="294">
        <v>1327367</v>
      </c>
      <c r="AF42" s="294">
        <v>104408</v>
      </c>
      <c r="AG42" s="294">
        <v>0</v>
      </c>
      <c r="AH42" s="292">
        <v>1611938</v>
      </c>
      <c r="AI42" s="293">
        <v>287128</v>
      </c>
      <c r="AJ42" s="294">
        <v>971322</v>
      </c>
      <c r="AK42" s="294">
        <v>299821</v>
      </c>
      <c r="AL42" s="294">
        <v>0</v>
      </c>
      <c r="AM42" s="292">
        <v>1558271</v>
      </c>
      <c r="AN42" s="293">
        <v>300175</v>
      </c>
      <c r="AO42" s="294">
        <v>2542</v>
      </c>
      <c r="AP42" s="294">
        <v>85189</v>
      </c>
      <c r="AQ42" s="294">
        <v>0</v>
      </c>
      <c r="AR42" s="292">
        <v>387906</v>
      </c>
      <c r="AS42" s="293">
        <v>225707</v>
      </c>
      <c r="AT42" s="294">
        <v>1418814</v>
      </c>
      <c r="AU42" s="294">
        <v>90390</v>
      </c>
      <c r="AV42" s="294">
        <v>0</v>
      </c>
      <c r="AW42" s="292">
        <v>1734911</v>
      </c>
      <c r="AX42" s="293">
        <v>277464</v>
      </c>
      <c r="AY42" s="294">
        <v>930242</v>
      </c>
      <c r="AZ42" s="294">
        <v>287536</v>
      </c>
      <c r="BA42" s="294">
        <v>0</v>
      </c>
      <c r="BB42" s="292">
        <v>1495242</v>
      </c>
      <c r="BC42" s="293">
        <v>301817</v>
      </c>
      <c r="BD42" s="294">
        <v>-42073</v>
      </c>
      <c r="BE42" s="294">
        <v>135285</v>
      </c>
      <c r="BF42" s="294">
        <v>0</v>
      </c>
      <c r="BG42" s="292">
        <v>395029</v>
      </c>
      <c r="BH42" s="293">
        <v>273276</v>
      </c>
      <c r="BI42" s="294">
        <v>32982</v>
      </c>
      <c r="BJ42" s="294">
        <v>19624</v>
      </c>
      <c r="BK42" s="294">
        <v>0</v>
      </c>
      <c r="BL42" s="292">
        <v>325882</v>
      </c>
      <c r="BM42" s="293">
        <v>865521</v>
      </c>
      <c r="BN42" s="294">
        <v>2854314</v>
      </c>
      <c r="BO42" s="294">
        <v>1037901</v>
      </c>
      <c r="BP42" s="294">
        <v>0</v>
      </c>
      <c r="BQ42" s="292">
        <v>4757736</v>
      </c>
      <c r="BR42" s="293">
        <v>3705515</v>
      </c>
      <c r="BS42" s="291">
        <v>9116654</v>
      </c>
      <c r="BT42" s="294">
        <v>2394699</v>
      </c>
      <c r="BU42" s="294">
        <v>738</v>
      </c>
      <c r="BV42" s="293">
        <v>15217606</v>
      </c>
      <c r="BW42" s="299"/>
      <c r="BX42" s="296">
        <v>100</v>
      </c>
      <c r="BZ42" s="245">
        <v>0</v>
      </c>
      <c r="CA42" s="245">
        <v>0</v>
      </c>
      <c r="CB42" s="245">
        <v>0</v>
      </c>
      <c r="CC42" s="245">
        <v>0</v>
      </c>
    </row>
    <row r="43" spans="1:81" ht="12.75" x14ac:dyDescent="0.2">
      <c r="A43" s="287">
        <v>37</v>
      </c>
      <c r="B43" s="288" t="s">
        <v>302</v>
      </c>
      <c r="D43" s="289"/>
      <c r="E43" s="290">
        <v>673523</v>
      </c>
      <c r="F43" s="291">
        <v>3624491</v>
      </c>
      <c r="G43" s="291">
        <v>45804</v>
      </c>
      <c r="H43" s="291">
        <v>749</v>
      </c>
      <c r="I43" s="292">
        <v>4344567</v>
      </c>
      <c r="J43" s="293">
        <v>52549</v>
      </c>
      <c r="K43" s="294">
        <v>686320</v>
      </c>
      <c r="L43" s="294">
        <v>370</v>
      </c>
      <c r="M43" s="294">
        <v>0</v>
      </c>
      <c r="N43" s="292">
        <v>739239</v>
      </c>
      <c r="O43" s="294">
        <v>58639</v>
      </c>
      <c r="P43" s="294">
        <v>41198</v>
      </c>
      <c r="Q43" s="294">
        <v>23502</v>
      </c>
      <c r="R43" s="294">
        <v>0</v>
      </c>
      <c r="S43" s="292">
        <v>123339</v>
      </c>
      <c r="T43" s="293">
        <v>55510</v>
      </c>
      <c r="U43" s="294">
        <v>23937</v>
      </c>
      <c r="V43" s="294">
        <v>1516</v>
      </c>
      <c r="W43" s="294">
        <v>0</v>
      </c>
      <c r="X43" s="292">
        <v>80963</v>
      </c>
      <c r="Y43" s="293">
        <v>46245</v>
      </c>
      <c r="Z43" s="294">
        <v>652664</v>
      </c>
      <c r="AA43" s="294">
        <v>1730</v>
      </c>
      <c r="AB43" s="294">
        <v>0</v>
      </c>
      <c r="AC43" s="292">
        <v>700639</v>
      </c>
      <c r="AD43" s="293">
        <v>50163</v>
      </c>
      <c r="AE43" s="294">
        <v>262113</v>
      </c>
      <c r="AF43" s="294">
        <v>2050</v>
      </c>
      <c r="AG43" s="294">
        <v>23</v>
      </c>
      <c r="AH43" s="292">
        <v>314349</v>
      </c>
      <c r="AI43" s="293">
        <v>47288</v>
      </c>
      <c r="AJ43" s="294">
        <v>26454</v>
      </c>
      <c r="AK43" s="294">
        <v>157</v>
      </c>
      <c r="AL43" s="294">
        <v>7</v>
      </c>
      <c r="AM43" s="292">
        <v>73906</v>
      </c>
      <c r="AN43" s="293">
        <v>48652</v>
      </c>
      <c r="AO43" s="294">
        <v>937143</v>
      </c>
      <c r="AP43" s="294">
        <v>8274</v>
      </c>
      <c r="AQ43" s="294">
        <v>25</v>
      </c>
      <c r="AR43" s="292">
        <v>994094</v>
      </c>
      <c r="AS43" s="293">
        <v>51293</v>
      </c>
      <c r="AT43" s="294">
        <v>-1867</v>
      </c>
      <c r="AU43" s="294">
        <v>0</v>
      </c>
      <c r="AV43" s="294">
        <v>36</v>
      </c>
      <c r="AW43" s="292">
        <v>49462</v>
      </c>
      <c r="AX43" s="293">
        <v>51534</v>
      </c>
      <c r="AY43" s="294">
        <v>47131</v>
      </c>
      <c r="AZ43" s="294">
        <v>3677</v>
      </c>
      <c r="BA43" s="294">
        <v>20</v>
      </c>
      <c r="BB43" s="292">
        <v>102362</v>
      </c>
      <c r="BC43" s="293">
        <v>28534</v>
      </c>
      <c r="BD43" s="294">
        <v>696476</v>
      </c>
      <c r="BE43" s="294">
        <v>-333</v>
      </c>
      <c r="BF43" s="294">
        <v>500</v>
      </c>
      <c r="BG43" s="292">
        <v>725177</v>
      </c>
      <c r="BH43" s="293">
        <v>45649</v>
      </c>
      <c r="BI43" s="294">
        <v>28284</v>
      </c>
      <c r="BJ43" s="294">
        <v>529</v>
      </c>
      <c r="BK43" s="294">
        <v>9</v>
      </c>
      <c r="BL43" s="292">
        <v>74471</v>
      </c>
      <c r="BM43" s="293">
        <v>137467</v>
      </c>
      <c r="BN43" s="294">
        <v>224638</v>
      </c>
      <c r="BO43" s="294">
        <v>4332</v>
      </c>
      <c r="BP43" s="294">
        <v>129</v>
      </c>
      <c r="BQ43" s="292">
        <v>366566</v>
      </c>
      <c r="BR43" s="293">
        <v>673523</v>
      </c>
      <c r="BS43" s="291">
        <v>3624491</v>
      </c>
      <c r="BT43" s="294">
        <v>45804</v>
      </c>
      <c r="BU43" s="294">
        <v>749</v>
      </c>
      <c r="BV43" s="293">
        <v>4344567</v>
      </c>
      <c r="BW43" s="299"/>
      <c r="BX43" s="296">
        <v>100</v>
      </c>
      <c r="BZ43" s="245">
        <v>0</v>
      </c>
      <c r="CA43" s="245">
        <v>0</v>
      </c>
      <c r="CB43" s="245">
        <v>0</v>
      </c>
      <c r="CC43" s="245">
        <v>0</v>
      </c>
    </row>
    <row r="44" spans="1:81" ht="12.75" x14ac:dyDescent="0.2">
      <c r="A44" s="287">
        <v>38</v>
      </c>
      <c r="B44" s="288" t="s">
        <v>248</v>
      </c>
      <c r="D44" s="289"/>
      <c r="E44" s="290">
        <v>729375</v>
      </c>
      <c r="F44" s="291">
        <v>32560142</v>
      </c>
      <c r="G44" s="291">
        <v>5872</v>
      </c>
      <c r="H44" s="291">
        <v>50164</v>
      </c>
      <c r="I44" s="292">
        <v>33345553</v>
      </c>
      <c r="J44" s="293">
        <v>48090</v>
      </c>
      <c r="K44" s="294">
        <v>970151</v>
      </c>
      <c r="L44" s="294">
        <v>958</v>
      </c>
      <c r="M44" s="294">
        <v>0</v>
      </c>
      <c r="N44" s="292">
        <v>1019199</v>
      </c>
      <c r="O44" s="294">
        <v>60539</v>
      </c>
      <c r="P44" s="294">
        <v>1909703</v>
      </c>
      <c r="Q44" s="294">
        <v>153</v>
      </c>
      <c r="R44" s="294">
        <v>50071</v>
      </c>
      <c r="S44" s="292">
        <v>2020466</v>
      </c>
      <c r="T44" s="293">
        <v>49155</v>
      </c>
      <c r="U44" s="294">
        <v>2014353</v>
      </c>
      <c r="V44" s="294">
        <v>232</v>
      </c>
      <c r="W44" s="294">
        <v>0</v>
      </c>
      <c r="X44" s="292">
        <v>2063740</v>
      </c>
      <c r="Y44" s="293">
        <v>57857</v>
      </c>
      <c r="Z44" s="294">
        <v>4310160</v>
      </c>
      <c r="AA44" s="294">
        <v>294</v>
      </c>
      <c r="AB44" s="294">
        <v>34</v>
      </c>
      <c r="AC44" s="292">
        <v>4368345</v>
      </c>
      <c r="AD44" s="293">
        <v>50992</v>
      </c>
      <c r="AE44" s="294">
        <v>1653962</v>
      </c>
      <c r="AF44" s="294">
        <v>335</v>
      </c>
      <c r="AG44" s="294">
        <v>37</v>
      </c>
      <c r="AH44" s="292">
        <v>1705326</v>
      </c>
      <c r="AI44" s="293">
        <v>53384</v>
      </c>
      <c r="AJ44" s="294">
        <v>1726776</v>
      </c>
      <c r="AK44" s="294">
        <v>637</v>
      </c>
      <c r="AL44" s="294">
        <v>0</v>
      </c>
      <c r="AM44" s="292">
        <v>1780797</v>
      </c>
      <c r="AN44" s="293">
        <v>66299</v>
      </c>
      <c r="AO44" s="294">
        <v>1694115</v>
      </c>
      <c r="AP44" s="294">
        <v>461</v>
      </c>
      <c r="AQ44" s="294">
        <v>0</v>
      </c>
      <c r="AR44" s="292">
        <v>1760875</v>
      </c>
      <c r="AS44" s="293">
        <v>62564</v>
      </c>
      <c r="AT44" s="294">
        <v>3795088</v>
      </c>
      <c r="AU44" s="294">
        <v>602</v>
      </c>
      <c r="AV44" s="294">
        <v>18</v>
      </c>
      <c r="AW44" s="292">
        <v>3858272</v>
      </c>
      <c r="AX44" s="293">
        <v>63331</v>
      </c>
      <c r="AY44" s="294">
        <v>2384210</v>
      </c>
      <c r="AZ44" s="294">
        <v>204</v>
      </c>
      <c r="BA44" s="294">
        <v>0</v>
      </c>
      <c r="BB44" s="292">
        <v>2447745</v>
      </c>
      <c r="BC44" s="293">
        <v>50149</v>
      </c>
      <c r="BD44" s="294">
        <v>1621300</v>
      </c>
      <c r="BE44" s="294">
        <v>437</v>
      </c>
      <c r="BF44" s="294">
        <v>2</v>
      </c>
      <c r="BG44" s="292">
        <v>1671888</v>
      </c>
      <c r="BH44" s="293">
        <v>55642</v>
      </c>
      <c r="BI44" s="294">
        <v>3709885</v>
      </c>
      <c r="BJ44" s="294">
        <v>508</v>
      </c>
      <c r="BK44" s="294">
        <v>0</v>
      </c>
      <c r="BL44" s="292">
        <v>3766035</v>
      </c>
      <c r="BM44" s="293">
        <v>111373</v>
      </c>
      <c r="BN44" s="294">
        <v>6770439</v>
      </c>
      <c r="BO44" s="294">
        <v>1051</v>
      </c>
      <c r="BP44" s="294">
        <v>2</v>
      </c>
      <c r="BQ44" s="292">
        <v>6882865</v>
      </c>
      <c r="BR44" s="293">
        <v>729375</v>
      </c>
      <c r="BS44" s="291">
        <v>32560142</v>
      </c>
      <c r="BT44" s="294">
        <v>5872</v>
      </c>
      <c r="BU44" s="294">
        <v>50164</v>
      </c>
      <c r="BV44" s="293">
        <v>33345553</v>
      </c>
      <c r="BW44" s="299"/>
      <c r="BX44" s="296">
        <v>100</v>
      </c>
      <c r="BZ44" s="245">
        <v>0</v>
      </c>
      <c r="CA44" s="245">
        <v>0</v>
      </c>
      <c r="CB44" s="245">
        <v>0</v>
      </c>
      <c r="CC44" s="245">
        <v>0</v>
      </c>
    </row>
    <row r="45" spans="1:81" ht="12.75" x14ac:dyDescent="0.2">
      <c r="A45" s="287">
        <v>39</v>
      </c>
      <c r="B45" s="288" t="s">
        <v>303</v>
      </c>
      <c r="D45" s="289"/>
      <c r="E45" s="290">
        <v>6510457</v>
      </c>
      <c r="F45" s="291">
        <v>3533838</v>
      </c>
      <c r="G45" s="291">
        <v>761272</v>
      </c>
      <c r="H45" s="291">
        <v>7260</v>
      </c>
      <c r="I45" s="292">
        <v>10812827</v>
      </c>
      <c r="J45" s="293">
        <v>295601</v>
      </c>
      <c r="K45" s="294">
        <v>816400</v>
      </c>
      <c r="L45" s="294">
        <v>19695</v>
      </c>
      <c r="M45" s="294">
        <v>0</v>
      </c>
      <c r="N45" s="292">
        <v>1131696</v>
      </c>
      <c r="O45" s="294">
        <v>348996</v>
      </c>
      <c r="P45" s="294">
        <v>216624</v>
      </c>
      <c r="Q45" s="294">
        <v>31997</v>
      </c>
      <c r="R45" s="294">
        <v>0</v>
      </c>
      <c r="S45" s="292">
        <v>597617</v>
      </c>
      <c r="T45" s="293">
        <v>295796</v>
      </c>
      <c r="U45" s="294">
        <v>141884</v>
      </c>
      <c r="V45" s="294">
        <v>38590</v>
      </c>
      <c r="W45" s="294">
        <v>0</v>
      </c>
      <c r="X45" s="292">
        <v>476270</v>
      </c>
      <c r="Y45" s="293">
        <v>410097</v>
      </c>
      <c r="Z45" s="294">
        <v>606567</v>
      </c>
      <c r="AA45" s="294">
        <v>53873</v>
      </c>
      <c r="AB45" s="294">
        <v>0</v>
      </c>
      <c r="AC45" s="292">
        <v>1070537</v>
      </c>
      <c r="AD45" s="293">
        <v>362701</v>
      </c>
      <c r="AE45" s="294">
        <v>220199</v>
      </c>
      <c r="AF45" s="294">
        <v>32348</v>
      </c>
      <c r="AG45" s="294">
        <v>53</v>
      </c>
      <c r="AH45" s="292">
        <v>615301</v>
      </c>
      <c r="AI45" s="293">
        <v>372929</v>
      </c>
      <c r="AJ45" s="294">
        <v>76154</v>
      </c>
      <c r="AK45" s="294">
        <v>43177</v>
      </c>
      <c r="AL45" s="294">
        <v>0</v>
      </c>
      <c r="AM45" s="292">
        <v>492260</v>
      </c>
      <c r="AN45" s="293">
        <v>417005</v>
      </c>
      <c r="AO45" s="294">
        <v>576839</v>
      </c>
      <c r="AP45" s="294">
        <v>51461</v>
      </c>
      <c r="AQ45" s="294">
        <v>-53</v>
      </c>
      <c r="AR45" s="292">
        <v>1045252</v>
      </c>
      <c r="AS45" s="293">
        <v>363675</v>
      </c>
      <c r="AT45" s="294">
        <v>318348</v>
      </c>
      <c r="AU45" s="294">
        <v>53318</v>
      </c>
      <c r="AV45" s="294">
        <v>0</v>
      </c>
      <c r="AW45" s="292">
        <v>735341</v>
      </c>
      <c r="AX45" s="293">
        <v>351868</v>
      </c>
      <c r="AY45" s="294">
        <v>758984</v>
      </c>
      <c r="AZ45" s="294">
        <v>150127</v>
      </c>
      <c r="BA45" s="294">
        <v>0</v>
      </c>
      <c r="BB45" s="292">
        <v>1260979</v>
      </c>
      <c r="BC45" s="293">
        <v>368472</v>
      </c>
      <c r="BD45" s="294">
        <v>536133</v>
      </c>
      <c r="BE45" s="294">
        <v>4007</v>
      </c>
      <c r="BF45" s="294">
        <v>0</v>
      </c>
      <c r="BG45" s="292">
        <v>908612</v>
      </c>
      <c r="BH45" s="293">
        <v>380669</v>
      </c>
      <c r="BI45" s="294">
        <v>386539</v>
      </c>
      <c r="BJ45" s="294">
        <v>40521</v>
      </c>
      <c r="BK45" s="294">
        <v>0</v>
      </c>
      <c r="BL45" s="292">
        <v>807729</v>
      </c>
      <c r="BM45" s="293">
        <v>2542648</v>
      </c>
      <c r="BN45" s="294">
        <v>-1120833</v>
      </c>
      <c r="BO45" s="294">
        <v>242158</v>
      </c>
      <c r="BP45" s="294">
        <v>7260</v>
      </c>
      <c r="BQ45" s="292">
        <v>1671233</v>
      </c>
      <c r="BR45" s="293">
        <v>6510457</v>
      </c>
      <c r="BS45" s="291">
        <v>3533838</v>
      </c>
      <c r="BT45" s="294">
        <v>761272</v>
      </c>
      <c r="BU45" s="294">
        <v>7260</v>
      </c>
      <c r="BV45" s="293">
        <v>10812827</v>
      </c>
      <c r="BW45" s="299"/>
      <c r="BX45" s="296">
        <v>100</v>
      </c>
      <c r="BZ45" s="245">
        <v>0</v>
      </c>
      <c r="CA45" s="245">
        <v>0</v>
      </c>
      <c r="CB45" s="245">
        <v>0</v>
      </c>
      <c r="CC45" s="245">
        <v>0</v>
      </c>
    </row>
    <row r="46" spans="1:81" ht="12.75" x14ac:dyDescent="0.2">
      <c r="A46" s="341">
        <v>40</v>
      </c>
      <c r="B46" s="371" t="s">
        <v>304</v>
      </c>
      <c r="C46" s="371"/>
      <c r="D46" s="314"/>
      <c r="E46" s="290">
        <v>265281</v>
      </c>
      <c r="F46" s="291">
        <v>855647</v>
      </c>
      <c r="G46" s="291">
        <v>2927</v>
      </c>
      <c r="H46" s="291">
        <v>93</v>
      </c>
      <c r="I46" s="292">
        <v>1123948</v>
      </c>
      <c r="J46" s="293">
        <v>16922</v>
      </c>
      <c r="K46" s="294">
        <v>6459</v>
      </c>
      <c r="L46" s="294">
        <v>95</v>
      </c>
      <c r="M46" s="294">
        <v>0</v>
      </c>
      <c r="N46" s="292">
        <v>23476</v>
      </c>
      <c r="O46" s="294">
        <v>19126</v>
      </c>
      <c r="P46" s="294">
        <v>196</v>
      </c>
      <c r="Q46" s="294">
        <v>26</v>
      </c>
      <c r="R46" s="294">
        <v>0</v>
      </c>
      <c r="S46" s="292">
        <v>19348</v>
      </c>
      <c r="T46" s="293">
        <v>18356</v>
      </c>
      <c r="U46" s="294">
        <v>159594</v>
      </c>
      <c r="V46" s="294">
        <v>179</v>
      </c>
      <c r="W46" s="294">
        <v>0</v>
      </c>
      <c r="X46" s="292">
        <v>178129</v>
      </c>
      <c r="Y46" s="293">
        <v>13452</v>
      </c>
      <c r="Z46" s="294">
        <v>208</v>
      </c>
      <c r="AA46" s="294">
        <v>44</v>
      </c>
      <c r="AB46" s="294">
        <v>0</v>
      </c>
      <c r="AC46" s="292">
        <v>13704</v>
      </c>
      <c r="AD46" s="293">
        <v>34106</v>
      </c>
      <c r="AE46" s="294">
        <v>30178</v>
      </c>
      <c r="AF46" s="294">
        <v>3</v>
      </c>
      <c r="AG46" s="294">
        <v>0</v>
      </c>
      <c r="AH46" s="292">
        <v>64287</v>
      </c>
      <c r="AI46" s="293">
        <v>12358</v>
      </c>
      <c r="AJ46" s="294">
        <v>191887</v>
      </c>
      <c r="AK46" s="294">
        <v>27</v>
      </c>
      <c r="AL46" s="294">
        <v>0</v>
      </c>
      <c r="AM46" s="292">
        <v>204272</v>
      </c>
      <c r="AN46" s="293">
        <v>44994</v>
      </c>
      <c r="AO46" s="294">
        <v>69808</v>
      </c>
      <c r="AP46" s="294">
        <v>0</v>
      </c>
      <c r="AQ46" s="294">
        <v>0</v>
      </c>
      <c r="AR46" s="292">
        <v>114802</v>
      </c>
      <c r="AS46" s="293">
        <v>37657</v>
      </c>
      <c r="AT46" s="294">
        <v>249515</v>
      </c>
      <c r="AU46" s="294">
        <v>490</v>
      </c>
      <c r="AV46" s="294">
        <v>0</v>
      </c>
      <c r="AW46" s="292">
        <v>287662</v>
      </c>
      <c r="AX46" s="293">
        <v>24936</v>
      </c>
      <c r="AY46" s="294">
        <v>10398</v>
      </c>
      <c r="AZ46" s="294">
        <v>31</v>
      </c>
      <c r="BA46" s="294">
        <v>0</v>
      </c>
      <c r="BB46" s="292">
        <v>35365</v>
      </c>
      <c r="BC46" s="293">
        <v>13234</v>
      </c>
      <c r="BD46" s="294">
        <v>38565</v>
      </c>
      <c r="BE46" s="294">
        <v>722</v>
      </c>
      <c r="BF46" s="294">
        <v>35</v>
      </c>
      <c r="BG46" s="292">
        <v>52556</v>
      </c>
      <c r="BH46" s="293">
        <v>11081</v>
      </c>
      <c r="BI46" s="294">
        <v>25238</v>
      </c>
      <c r="BJ46" s="294">
        <v>1245</v>
      </c>
      <c r="BK46" s="294">
        <v>16</v>
      </c>
      <c r="BL46" s="292">
        <v>37580</v>
      </c>
      <c r="BM46" s="293">
        <v>19059</v>
      </c>
      <c r="BN46" s="294">
        <v>73601</v>
      </c>
      <c r="BO46" s="372">
        <v>65</v>
      </c>
      <c r="BP46" s="294">
        <v>42</v>
      </c>
      <c r="BQ46" s="292">
        <v>92767</v>
      </c>
      <c r="BR46" s="293">
        <v>265281</v>
      </c>
      <c r="BS46" s="291">
        <v>855647</v>
      </c>
      <c r="BT46" s="294">
        <v>2927</v>
      </c>
      <c r="BU46" s="294">
        <v>93</v>
      </c>
      <c r="BV46" s="293">
        <v>1123948</v>
      </c>
      <c r="BW46" s="299"/>
      <c r="BX46" s="296">
        <v>100</v>
      </c>
      <c r="BZ46" s="245">
        <v>0</v>
      </c>
      <c r="CA46" s="245">
        <v>0</v>
      </c>
      <c r="CB46" s="245">
        <v>0</v>
      </c>
      <c r="CC46" s="245">
        <v>0</v>
      </c>
    </row>
    <row r="47" spans="1:81" ht="12.75" x14ac:dyDescent="0.2">
      <c r="A47" s="373" t="s">
        <v>257</v>
      </c>
      <c r="B47" s="288"/>
      <c r="D47" s="316"/>
      <c r="E47" s="317">
        <v>243798853</v>
      </c>
      <c r="F47" s="318">
        <v>624608366</v>
      </c>
      <c r="G47" s="318">
        <v>12204523</v>
      </c>
      <c r="H47" s="318">
        <v>64518506</v>
      </c>
      <c r="I47" s="319">
        <v>945130248</v>
      </c>
      <c r="J47" s="317">
        <v>17419897</v>
      </c>
      <c r="K47" s="318">
        <v>58376647</v>
      </c>
      <c r="L47" s="318">
        <v>362073</v>
      </c>
      <c r="M47" s="318">
        <v>2125</v>
      </c>
      <c r="N47" s="319">
        <v>76160742</v>
      </c>
      <c r="O47" s="318">
        <v>18816680</v>
      </c>
      <c r="P47" s="318">
        <v>46735572</v>
      </c>
      <c r="Q47" s="318">
        <v>582691</v>
      </c>
      <c r="R47" s="318">
        <v>51556</v>
      </c>
      <c r="S47" s="319">
        <v>66186499</v>
      </c>
      <c r="T47" s="317">
        <v>18927123</v>
      </c>
      <c r="U47" s="318">
        <v>40054108</v>
      </c>
      <c r="V47" s="318">
        <v>553754</v>
      </c>
      <c r="W47" s="318">
        <v>-30</v>
      </c>
      <c r="X47" s="319">
        <v>59534955</v>
      </c>
      <c r="Y47" s="317">
        <v>20136950</v>
      </c>
      <c r="Z47" s="318">
        <v>80697705</v>
      </c>
      <c r="AA47" s="318">
        <v>714762</v>
      </c>
      <c r="AB47" s="318">
        <v>2447</v>
      </c>
      <c r="AC47" s="319">
        <v>101551864</v>
      </c>
      <c r="AD47" s="317">
        <v>19206769</v>
      </c>
      <c r="AE47" s="318">
        <v>50967096</v>
      </c>
      <c r="AF47" s="318">
        <v>844913</v>
      </c>
      <c r="AG47" s="318">
        <v>2116</v>
      </c>
      <c r="AH47" s="319">
        <v>71020894</v>
      </c>
      <c r="AI47" s="317">
        <v>19341077</v>
      </c>
      <c r="AJ47" s="318">
        <v>33901185</v>
      </c>
      <c r="AK47" s="318">
        <v>853464</v>
      </c>
      <c r="AL47" s="318">
        <v>13502173</v>
      </c>
      <c r="AM47" s="319">
        <v>67597899</v>
      </c>
      <c r="AN47" s="317">
        <v>20488885</v>
      </c>
      <c r="AO47" s="318">
        <v>54427618</v>
      </c>
      <c r="AP47" s="318">
        <v>670997</v>
      </c>
      <c r="AQ47" s="318">
        <v>1514</v>
      </c>
      <c r="AR47" s="319">
        <v>75589014</v>
      </c>
      <c r="AS47" s="317">
        <v>19784022</v>
      </c>
      <c r="AT47" s="318">
        <v>43850096</v>
      </c>
      <c r="AU47" s="318">
        <v>737799</v>
      </c>
      <c r="AV47" s="318">
        <v>10145</v>
      </c>
      <c r="AW47" s="319">
        <v>64382062</v>
      </c>
      <c r="AX47" s="317">
        <v>19695531</v>
      </c>
      <c r="AY47" s="318">
        <v>54421109</v>
      </c>
      <c r="AZ47" s="318">
        <v>1572655</v>
      </c>
      <c r="BA47" s="318">
        <v>17274933</v>
      </c>
      <c r="BB47" s="319">
        <v>92964228</v>
      </c>
      <c r="BC47" s="317">
        <v>19481922</v>
      </c>
      <c r="BD47" s="318">
        <v>45649125</v>
      </c>
      <c r="BE47" s="318">
        <v>896488</v>
      </c>
      <c r="BF47" s="318">
        <v>9707626</v>
      </c>
      <c r="BG47" s="319">
        <v>75735161</v>
      </c>
      <c r="BH47" s="317">
        <v>20982914</v>
      </c>
      <c r="BI47" s="318">
        <v>34099491</v>
      </c>
      <c r="BJ47" s="318">
        <v>685432</v>
      </c>
      <c r="BK47" s="318">
        <v>13013794</v>
      </c>
      <c r="BL47" s="319">
        <v>68781631</v>
      </c>
      <c r="BM47" s="317">
        <v>29517083</v>
      </c>
      <c r="BN47" s="318">
        <v>81428614</v>
      </c>
      <c r="BO47" s="318">
        <v>3729495</v>
      </c>
      <c r="BP47" s="318">
        <v>10950107</v>
      </c>
      <c r="BQ47" s="319">
        <v>125625299</v>
      </c>
      <c r="BR47" s="317">
        <v>243798853</v>
      </c>
      <c r="BS47" s="318">
        <v>624608366</v>
      </c>
      <c r="BT47" s="318">
        <v>12204523</v>
      </c>
      <c r="BU47" s="318">
        <v>64518506</v>
      </c>
      <c r="BV47" s="319">
        <v>945130248</v>
      </c>
      <c r="BW47" s="299"/>
      <c r="BX47" s="296">
        <v>100</v>
      </c>
      <c r="BZ47" s="323">
        <v>0</v>
      </c>
      <c r="CA47" s="323">
        <v>0</v>
      </c>
      <c r="CB47" s="323">
        <v>0</v>
      </c>
      <c r="CC47" s="323">
        <v>0</v>
      </c>
    </row>
    <row r="48" spans="1:81" ht="12.75" x14ac:dyDescent="0.2">
      <c r="A48" s="321" t="s">
        <v>258</v>
      </c>
      <c r="B48" s="288"/>
      <c r="D48" s="316"/>
      <c r="E48" s="322"/>
      <c r="F48" s="323"/>
      <c r="G48" s="323"/>
      <c r="H48" s="323"/>
      <c r="I48" s="324"/>
      <c r="J48" s="322"/>
      <c r="K48" s="323"/>
      <c r="L48" s="323"/>
      <c r="M48" s="323"/>
      <c r="N48" s="324"/>
      <c r="O48" s="323"/>
      <c r="P48" s="323"/>
      <c r="Q48" s="323"/>
      <c r="R48" s="323"/>
      <c r="S48" s="324"/>
      <c r="T48" s="322"/>
      <c r="U48" s="323"/>
      <c r="V48" s="323"/>
      <c r="W48" s="323"/>
      <c r="X48" s="324"/>
      <c r="Y48" s="322"/>
      <c r="Z48" s="323"/>
      <c r="AA48" s="323"/>
      <c r="AB48" s="323"/>
      <c r="AC48" s="324"/>
      <c r="AD48" s="322"/>
      <c r="AE48" s="323"/>
      <c r="AF48" s="323"/>
      <c r="AG48" s="323"/>
      <c r="AH48" s="324"/>
      <c r="AI48" s="322"/>
      <c r="AJ48" s="323"/>
      <c r="AK48" s="323"/>
      <c r="AL48" s="323"/>
      <c r="AM48" s="324"/>
      <c r="AN48" s="322"/>
      <c r="AO48" s="323"/>
      <c r="AP48" s="323"/>
      <c r="AQ48" s="323"/>
      <c r="AR48" s="324"/>
      <c r="AS48" s="322"/>
      <c r="AT48" s="323"/>
      <c r="AU48" s="323"/>
      <c r="AV48" s="323"/>
      <c r="AW48" s="324"/>
      <c r="AX48" s="322"/>
      <c r="AY48" s="323"/>
      <c r="AZ48" s="323"/>
      <c r="BA48" s="323"/>
      <c r="BB48" s="324"/>
      <c r="BC48" s="322"/>
      <c r="BD48" s="323"/>
      <c r="BE48" s="323"/>
      <c r="BF48" s="323"/>
      <c r="BG48" s="324"/>
      <c r="BH48" s="322"/>
      <c r="BI48" s="323"/>
      <c r="BJ48" s="323"/>
      <c r="BK48" s="323"/>
      <c r="BL48" s="324"/>
      <c r="BM48" s="322"/>
      <c r="BN48" s="323"/>
      <c r="BO48" s="323"/>
      <c r="BP48" s="323"/>
      <c r="BQ48" s="324"/>
      <c r="BR48" s="322"/>
      <c r="BS48" s="323"/>
      <c r="BT48" s="323"/>
      <c r="BU48" s="323"/>
      <c r="BV48" s="324"/>
      <c r="BW48" s="299"/>
      <c r="BX48" s="296"/>
      <c r="BZ48" s="294">
        <v>243798853</v>
      </c>
      <c r="CA48" s="245">
        <v>624608366</v>
      </c>
      <c r="CB48" s="245">
        <v>12204523</v>
      </c>
      <c r="CC48" s="245">
        <v>64518506</v>
      </c>
    </row>
    <row r="49" spans="1:81" ht="12.75" x14ac:dyDescent="0.2">
      <c r="A49" s="284" t="s">
        <v>24</v>
      </c>
      <c r="D49" s="326"/>
      <c r="E49" s="327"/>
      <c r="F49" s="53"/>
      <c r="G49" s="53"/>
      <c r="H49" s="53"/>
      <c r="I49" s="322"/>
      <c r="J49" s="327"/>
      <c r="K49" s="53"/>
      <c r="L49" s="53"/>
      <c r="M49" s="53"/>
      <c r="N49" s="324"/>
      <c r="O49" s="53"/>
      <c r="P49" s="53"/>
      <c r="Q49" s="53"/>
      <c r="R49" s="53"/>
      <c r="S49" s="322"/>
      <c r="T49" s="327"/>
      <c r="U49" s="53"/>
      <c r="V49" s="53"/>
      <c r="W49" s="53"/>
      <c r="X49" s="322"/>
      <c r="Y49" s="327"/>
      <c r="Z49" s="53"/>
      <c r="AA49" s="53"/>
      <c r="AB49" s="53"/>
      <c r="AC49" s="322"/>
      <c r="AD49" s="327"/>
      <c r="AE49" s="53"/>
      <c r="AF49" s="53"/>
      <c r="AG49" s="53"/>
      <c r="AH49" s="322"/>
      <c r="AI49" s="327"/>
      <c r="AJ49" s="53"/>
      <c r="AK49" s="53"/>
      <c r="AL49" s="53"/>
      <c r="AM49" s="322"/>
      <c r="AN49" s="327"/>
      <c r="AO49" s="53"/>
      <c r="AP49" s="53"/>
      <c r="AQ49" s="53"/>
      <c r="AR49" s="322"/>
      <c r="AS49" s="327"/>
      <c r="AT49" s="53"/>
      <c r="AU49" s="53"/>
      <c r="AV49" s="53"/>
      <c r="AW49" s="322"/>
      <c r="AX49" s="327"/>
      <c r="AY49" s="53"/>
      <c r="AZ49" s="53"/>
      <c r="BA49" s="53"/>
      <c r="BB49" s="322"/>
      <c r="BC49" s="327"/>
      <c r="BD49" s="53"/>
      <c r="BE49" s="53"/>
      <c r="BF49" s="53"/>
      <c r="BG49" s="322"/>
      <c r="BH49" s="327"/>
      <c r="BI49" s="53"/>
      <c r="BJ49" s="53"/>
      <c r="BK49" s="53"/>
      <c r="BL49" s="322"/>
      <c r="BM49" s="327"/>
      <c r="BN49" s="53"/>
      <c r="BO49" s="53"/>
      <c r="BP49" s="53"/>
      <c r="BQ49" s="322"/>
      <c r="BR49" s="327"/>
      <c r="BS49" s="53"/>
      <c r="BT49" s="53"/>
      <c r="BU49" s="53"/>
      <c r="BV49" s="322"/>
      <c r="BW49" s="328"/>
      <c r="BX49" s="296"/>
      <c r="BZ49" s="294">
        <v>0</v>
      </c>
      <c r="CA49" s="262">
        <v>0</v>
      </c>
      <c r="CB49" s="262">
        <v>0</v>
      </c>
      <c r="CC49" s="262">
        <v>0</v>
      </c>
    </row>
    <row r="50" spans="1:81" ht="12.75" x14ac:dyDescent="0.2">
      <c r="A50" s="287" t="s">
        <v>259</v>
      </c>
      <c r="B50" s="329"/>
      <c r="C50" s="329"/>
      <c r="D50" s="326"/>
      <c r="E50" s="291">
        <v>5708</v>
      </c>
      <c r="F50" s="291">
        <v>0</v>
      </c>
      <c r="G50" s="291">
        <v>0</v>
      </c>
      <c r="H50" s="291">
        <v>0</v>
      </c>
      <c r="I50" s="292">
        <v>5708</v>
      </c>
      <c r="J50" s="290">
        <v>475</v>
      </c>
      <c r="K50" s="291">
        <v>0</v>
      </c>
      <c r="L50" s="291">
        <v>0</v>
      </c>
      <c r="M50" s="291">
        <v>0</v>
      </c>
      <c r="N50" s="292">
        <v>475</v>
      </c>
      <c r="O50" s="291">
        <v>475</v>
      </c>
      <c r="P50" s="291">
        <v>0</v>
      </c>
      <c r="Q50" s="291">
        <v>0</v>
      </c>
      <c r="R50" s="291">
        <v>0</v>
      </c>
      <c r="S50" s="292">
        <v>475</v>
      </c>
      <c r="T50" s="291">
        <v>475</v>
      </c>
      <c r="U50" s="291">
        <v>0</v>
      </c>
      <c r="V50" s="291">
        <v>0</v>
      </c>
      <c r="W50" s="291">
        <v>0</v>
      </c>
      <c r="X50" s="292">
        <v>475</v>
      </c>
      <c r="Y50" s="291">
        <v>483</v>
      </c>
      <c r="Z50" s="291">
        <v>0</v>
      </c>
      <c r="AA50" s="291">
        <v>0</v>
      </c>
      <c r="AB50" s="291">
        <v>0</v>
      </c>
      <c r="AC50" s="292">
        <v>483</v>
      </c>
      <c r="AD50" s="291">
        <v>475</v>
      </c>
      <c r="AE50" s="291">
        <v>0</v>
      </c>
      <c r="AF50" s="291">
        <v>0</v>
      </c>
      <c r="AG50" s="291">
        <v>0</v>
      </c>
      <c r="AH50" s="292">
        <v>475</v>
      </c>
      <c r="AI50" s="291">
        <v>475</v>
      </c>
      <c r="AJ50" s="291">
        <v>0</v>
      </c>
      <c r="AK50" s="291">
        <v>0</v>
      </c>
      <c r="AL50" s="291">
        <v>0</v>
      </c>
      <c r="AM50" s="292">
        <v>475</v>
      </c>
      <c r="AN50" s="291">
        <v>499</v>
      </c>
      <c r="AO50" s="291">
        <v>0</v>
      </c>
      <c r="AP50" s="291">
        <v>0</v>
      </c>
      <c r="AQ50" s="291">
        <v>0</v>
      </c>
      <c r="AR50" s="292">
        <v>499</v>
      </c>
      <c r="AS50" s="291">
        <v>475</v>
      </c>
      <c r="AT50" s="291">
        <v>0</v>
      </c>
      <c r="AU50" s="291">
        <v>0</v>
      </c>
      <c r="AV50" s="291">
        <v>0</v>
      </c>
      <c r="AW50" s="292">
        <v>475</v>
      </c>
      <c r="AX50" s="291">
        <v>475</v>
      </c>
      <c r="AY50" s="291">
        <v>0</v>
      </c>
      <c r="AZ50" s="291">
        <v>0</v>
      </c>
      <c r="BA50" s="291">
        <v>0</v>
      </c>
      <c r="BB50" s="292">
        <v>475</v>
      </c>
      <c r="BC50" s="291">
        <v>451</v>
      </c>
      <c r="BD50" s="291">
        <v>0</v>
      </c>
      <c r="BE50" s="291">
        <v>0</v>
      </c>
      <c r="BF50" s="291">
        <v>0</v>
      </c>
      <c r="BG50" s="292">
        <v>451</v>
      </c>
      <c r="BH50" s="291">
        <v>475</v>
      </c>
      <c r="BI50" s="291">
        <v>0</v>
      </c>
      <c r="BJ50" s="291">
        <v>0</v>
      </c>
      <c r="BK50" s="291">
        <v>0</v>
      </c>
      <c r="BL50" s="292">
        <v>475</v>
      </c>
      <c r="BM50" s="291">
        <v>475</v>
      </c>
      <c r="BN50" s="291">
        <v>0</v>
      </c>
      <c r="BO50" s="291">
        <v>0</v>
      </c>
      <c r="BP50" s="291">
        <v>0</v>
      </c>
      <c r="BQ50" s="292">
        <v>475</v>
      </c>
      <c r="BR50" s="291">
        <v>5708</v>
      </c>
      <c r="BS50" s="291">
        <v>0</v>
      </c>
      <c r="BT50" s="291">
        <v>0</v>
      </c>
      <c r="BU50" s="291">
        <v>0</v>
      </c>
      <c r="BV50" s="292">
        <v>5708</v>
      </c>
      <c r="BW50" s="299"/>
      <c r="BX50" s="296">
        <v>100</v>
      </c>
      <c r="BZ50" s="294">
        <v>0</v>
      </c>
      <c r="CA50" s="262">
        <v>0</v>
      </c>
      <c r="CB50" s="262">
        <v>0</v>
      </c>
      <c r="CC50" s="262">
        <v>0</v>
      </c>
    </row>
    <row r="51" spans="1:81" ht="12.75" x14ac:dyDescent="0.2">
      <c r="A51" s="287" t="s">
        <v>260</v>
      </c>
      <c r="B51" s="329"/>
      <c r="D51" s="316" t="s">
        <v>86</v>
      </c>
      <c r="E51" s="291">
        <v>600518</v>
      </c>
      <c r="F51" s="291">
        <v>0</v>
      </c>
      <c r="G51" s="291">
        <v>0</v>
      </c>
      <c r="H51" s="291">
        <v>0</v>
      </c>
      <c r="I51" s="292">
        <v>600518</v>
      </c>
      <c r="J51" s="290">
        <v>43960</v>
      </c>
      <c r="K51" s="291">
        <v>0</v>
      </c>
      <c r="L51" s="291">
        <v>0</v>
      </c>
      <c r="M51" s="291">
        <v>0</v>
      </c>
      <c r="N51" s="292">
        <v>43960</v>
      </c>
      <c r="O51" s="291">
        <v>43960</v>
      </c>
      <c r="P51" s="291">
        <v>0</v>
      </c>
      <c r="Q51" s="291">
        <v>0</v>
      </c>
      <c r="R51" s="291">
        <v>0</v>
      </c>
      <c r="S51" s="292">
        <v>43960</v>
      </c>
      <c r="T51" s="291">
        <v>43960</v>
      </c>
      <c r="U51" s="291">
        <v>0</v>
      </c>
      <c r="V51" s="291">
        <v>0</v>
      </c>
      <c r="W51" s="291">
        <v>0</v>
      </c>
      <c r="X51" s="292">
        <v>43960</v>
      </c>
      <c r="Y51" s="291">
        <v>103960</v>
      </c>
      <c r="Z51" s="291">
        <v>0</v>
      </c>
      <c r="AA51" s="291">
        <v>0</v>
      </c>
      <c r="AB51" s="291">
        <v>0</v>
      </c>
      <c r="AC51" s="292">
        <v>103960</v>
      </c>
      <c r="AD51" s="291">
        <v>103960</v>
      </c>
      <c r="AE51" s="291">
        <v>0</v>
      </c>
      <c r="AF51" s="291">
        <v>0</v>
      </c>
      <c r="AG51" s="291">
        <v>0</v>
      </c>
      <c r="AH51" s="292">
        <v>103960</v>
      </c>
      <c r="AI51" s="291">
        <v>43960</v>
      </c>
      <c r="AJ51" s="291">
        <v>0</v>
      </c>
      <c r="AK51" s="291">
        <v>0</v>
      </c>
      <c r="AL51" s="291">
        <v>0</v>
      </c>
      <c r="AM51" s="292">
        <v>43960</v>
      </c>
      <c r="AN51" s="291">
        <v>43960</v>
      </c>
      <c r="AO51" s="291">
        <v>0</v>
      </c>
      <c r="AP51" s="291">
        <v>0</v>
      </c>
      <c r="AQ51" s="291">
        <v>0</v>
      </c>
      <c r="AR51" s="292">
        <v>43960</v>
      </c>
      <c r="AS51" s="291">
        <v>43960</v>
      </c>
      <c r="AT51" s="291">
        <v>0</v>
      </c>
      <c r="AU51" s="291">
        <v>0</v>
      </c>
      <c r="AV51" s="291">
        <v>0</v>
      </c>
      <c r="AW51" s="292">
        <v>43960</v>
      </c>
      <c r="AX51" s="291">
        <v>43960</v>
      </c>
      <c r="AY51" s="291">
        <v>0</v>
      </c>
      <c r="AZ51" s="291">
        <v>0</v>
      </c>
      <c r="BA51" s="291">
        <v>0</v>
      </c>
      <c r="BB51" s="292">
        <v>43960</v>
      </c>
      <c r="BC51" s="291">
        <v>3960</v>
      </c>
      <c r="BD51" s="291">
        <v>0</v>
      </c>
      <c r="BE51" s="291">
        <v>0</v>
      </c>
      <c r="BF51" s="291">
        <v>0</v>
      </c>
      <c r="BG51" s="292">
        <v>3960</v>
      </c>
      <c r="BH51" s="291">
        <v>53960</v>
      </c>
      <c r="BI51" s="291">
        <v>0</v>
      </c>
      <c r="BJ51" s="291">
        <v>0</v>
      </c>
      <c r="BK51" s="291">
        <v>0</v>
      </c>
      <c r="BL51" s="292">
        <v>53960</v>
      </c>
      <c r="BM51" s="291">
        <v>26958</v>
      </c>
      <c r="BN51" s="291">
        <v>0</v>
      </c>
      <c r="BO51" s="291">
        <v>0</v>
      </c>
      <c r="BP51" s="291">
        <v>0</v>
      </c>
      <c r="BQ51" s="292">
        <v>26958</v>
      </c>
      <c r="BR51" s="291">
        <v>600518</v>
      </c>
      <c r="BS51" s="291">
        <v>0</v>
      </c>
      <c r="BT51" s="291">
        <v>0</v>
      </c>
      <c r="BU51" s="291">
        <v>0</v>
      </c>
      <c r="BV51" s="292">
        <v>600518</v>
      </c>
      <c r="BW51" s="299"/>
      <c r="BX51" s="296">
        <v>100</v>
      </c>
      <c r="BZ51" s="294">
        <v>0</v>
      </c>
      <c r="CA51" s="262">
        <v>0</v>
      </c>
      <c r="CB51" s="262">
        <v>0</v>
      </c>
      <c r="CC51" s="262">
        <v>0</v>
      </c>
    </row>
    <row r="52" spans="1:81" ht="12.75" x14ac:dyDescent="0.2">
      <c r="A52" s="287" t="s">
        <v>261</v>
      </c>
      <c r="B52" s="329"/>
      <c r="D52" s="332"/>
      <c r="E52" s="291">
        <v>204769349.69999999</v>
      </c>
      <c r="F52" s="291">
        <v>0</v>
      </c>
      <c r="G52" s="291">
        <v>0</v>
      </c>
      <c r="H52" s="291">
        <v>0</v>
      </c>
      <c r="I52" s="292">
        <v>204769349.69999999</v>
      </c>
      <c r="J52" s="290">
        <v>3587887</v>
      </c>
      <c r="K52" s="291">
        <v>0</v>
      </c>
      <c r="L52" s="291">
        <v>0</v>
      </c>
      <c r="M52" s="291">
        <v>0</v>
      </c>
      <c r="N52" s="292">
        <v>3587887</v>
      </c>
      <c r="O52" s="291">
        <v>4274259</v>
      </c>
      <c r="P52" s="291">
        <v>0</v>
      </c>
      <c r="Q52" s="291">
        <v>0</v>
      </c>
      <c r="R52" s="291">
        <v>0</v>
      </c>
      <c r="S52" s="292">
        <v>4274259</v>
      </c>
      <c r="T52" s="291">
        <v>20232557</v>
      </c>
      <c r="U52" s="291">
        <v>0</v>
      </c>
      <c r="V52" s="291">
        <v>0</v>
      </c>
      <c r="W52" s="291">
        <v>0</v>
      </c>
      <c r="X52" s="292">
        <v>20232557</v>
      </c>
      <c r="Y52" s="291">
        <v>27300430</v>
      </c>
      <c r="Z52" s="291">
        <v>0</v>
      </c>
      <c r="AA52" s="291">
        <v>0</v>
      </c>
      <c r="AB52" s="291">
        <v>0</v>
      </c>
      <c r="AC52" s="292">
        <v>27300430</v>
      </c>
      <c r="AD52" s="291">
        <v>27624060</v>
      </c>
      <c r="AE52" s="291">
        <v>0</v>
      </c>
      <c r="AF52" s="291">
        <v>0</v>
      </c>
      <c r="AG52" s="291">
        <v>0</v>
      </c>
      <c r="AH52" s="292">
        <v>27624060</v>
      </c>
      <c r="AI52" s="291">
        <v>16497519</v>
      </c>
      <c r="AJ52" s="291">
        <v>0</v>
      </c>
      <c r="AK52" s="291">
        <v>0</v>
      </c>
      <c r="AL52" s="291">
        <v>0</v>
      </c>
      <c r="AM52" s="292">
        <v>16497519</v>
      </c>
      <c r="AN52" s="291">
        <v>4518363</v>
      </c>
      <c r="AO52" s="291">
        <v>0</v>
      </c>
      <c r="AP52" s="291">
        <v>0</v>
      </c>
      <c r="AQ52" s="291">
        <v>0</v>
      </c>
      <c r="AR52" s="292">
        <v>4518363</v>
      </c>
      <c r="AS52" s="291">
        <v>2314875</v>
      </c>
      <c r="AT52" s="291">
        <v>0</v>
      </c>
      <c r="AU52" s="291">
        <v>0</v>
      </c>
      <c r="AV52" s="291">
        <v>0</v>
      </c>
      <c r="AW52" s="292">
        <v>2314875</v>
      </c>
      <c r="AX52" s="291">
        <v>21145008</v>
      </c>
      <c r="AY52" s="291">
        <v>0</v>
      </c>
      <c r="AZ52" s="291">
        <v>0</v>
      </c>
      <c r="BA52" s="291">
        <v>0</v>
      </c>
      <c r="BB52" s="292">
        <v>21145008</v>
      </c>
      <c r="BC52" s="291">
        <v>28808483</v>
      </c>
      <c r="BD52" s="291">
        <v>0</v>
      </c>
      <c r="BE52" s="291">
        <v>0</v>
      </c>
      <c r="BF52" s="291">
        <v>0</v>
      </c>
      <c r="BG52" s="292">
        <v>28808483</v>
      </c>
      <c r="BH52" s="291">
        <v>29392738</v>
      </c>
      <c r="BI52" s="291">
        <v>0</v>
      </c>
      <c r="BJ52" s="291">
        <v>0</v>
      </c>
      <c r="BK52" s="291">
        <v>0</v>
      </c>
      <c r="BL52" s="292">
        <v>29392738</v>
      </c>
      <c r="BM52" s="291">
        <v>19073170.699999999</v>
      </c>
      <c r="BN52" s="291">
        <v>0</v>
      </c>
      <c r="BO52" s="291">
        <v>0</v>
      </c>
      <c r="BP52" s="291">
        <v>0</v>
      </c>
      <c r="BQ52" s="292">
        <v>19073170.699999999</v>
      </c>
      <c r="BR52" s="291">
        <v>204769349.69999999</v>
      </c>
      <c r="BS52" s="291">
        <v>0</v>
      </c>
      <c r="BT52" s="291">
        <v>0</v>
      </c>
      <c r="BU52" s="291">
        <v>0</v>
      </c>
      <c r="BV52" s="292">
        <v>204769349.69999999</v>
      </c>
      <c r="BW52" s="299"/>
      <c r="BX52" s="296">
        <v>100</v>
      </c>
      <c r="BZ52" s="262">
        <v>0</v>
      </c>
      <c r="CA52" s="262">
        <v>0</v>
      </c>
      <c r="CB52" s="262">
        <v>0</v>
      </c>
      <c r="CC52" s="262">
        <v>0</v>
      </c>
    </row>
    <row r="53" spans="1:81" s="334" customFormat="1" ht="12.75" x14ac:dyDescent="0.2">
      <c r="A53" s="333" t="s">
        <v>131</v>
      </c>
      <c r="D53" s="332"/>
      <c r="E53" s="69">
        <v>204620552.25</v>
      </c>
      <c r="F53" s="69">
        <v>0</v>
      </c>
      <c r="G53" s="69">
        <v>0</v>
      </c>
      <c r="H53" s="69">
        <v>0</v>
      </c>
      <c r="I53" s="335">
        <v>204620552.25</v>
      </c>
      <c r="J53" s="336">
        <v>3587571</v>
      </c>
      <c r="K53" s="69">
        <v>0</v>
      </c>
      <c r="L53" s="69">
        <v>0</v>
      </c>
      <c r="M53" s="69">
        <v>0</v>
      </c>
      <c r="N53" s="335">
        <v>3587571</v>
      </c>
      <c r="O53" s="69">
        <v>4257039</v>
      </c>
      <c r="P53" s="69">
        <v>0</v>
      </c>
      <c r="Q53" s="69">
        <v>0</v>
      </c>
      <c r="R53" s="69">
        <v>0</v>
      </c>
      <c r="S53" s="335">
        <v>4257039</v>
      </c>
      <c r="T53" s="69">
        <v>20232306</v>
      </c>
      <c r="U53" s="69">
        <v>0</v>
      </c>
      <c r="V53" s="69">
        <v>0</v>
      </c>
      <c r="W53" s="69">
        <v>0</v>
      </c>
      <c r="X53" s="335">
        <v>20232306</v>
      </c>
      <c r="Y53" s="337">
        <v>27299692.5</v>
      </c>
      <c r="Z53" s="69">
        <v>0</v>
      </c>
      <c r="AA53" s="69">
        <v>0</v>
      </c>
      <c r="AB53" s="69">
        <v>0</v>
      </c>
      <c r="AC53" s="335">
        <v>27299692.5</v>
      </c>
      <c r="AD53" s="69">
        <v>27623391</v>
      </c>
      <c r="AE53" s="69">
        <v>0</v>
      </c>
      <c r="AF53" s="69">
        <v>0</v>
      </c>
      <c r="AG53" s="69">
        <v>0</v>
      </c>
      <c r="AH53" s="335">
        <v>27623391</v>
      </c>
      <c r="AI53" s="69">
        <v>16497399</v>
      </c>
      <c r="AJ53" s="69">
        <v>0</v>
      </c>
      <c r="AK53" s="69">
        <v>0</v>
      </c>
      <c r="AL53" s="69">
        <v>0</v>
      </c>
      <c r="AM53" s="335">
        <v>16497399</v>
      </c>
      <c r="AN53" s="69">
        <v>4417100</v>
      </c>
      <c r="AO53" s="69">
        <v>0</v>
      </c>
      <c r="AP53" s="69">
        <v>0</v>
      </c>
      <c r="AQ53" s="69">
        <v>0</v>
      </c>
      <c r="AR53" s="335">
        <v>4417100</v>
      </c>
      <c r="AS53" s="69">
        <v>2309095</v>
      </c>
      <c r="AT53" s="69">
        <v>0</v>
      </c>
      <c r="AU53" s="69">
        <v>0</v>
      </c>
      <c r="AV53" s="69">
        <v>0</v>
      </c>
      <c r="AW53" s="335">
        <v>2309095</v>
      </c>
      <c r="AX53" s="69">
        <v>21144106</v>
      </c>
      <c r="AY53" s="69">
        <v>0</v>
      </c>
      <c r="AZ53" s="69">
        <v>0</v>
      </c>
      <c r="BA53" s="69">
        <v>0</v>
      </c>
      <c r="BB53" s="335">
        <v>21144106</v>
      </c>
      <c r="BC53" s="69">
        <v>28808072</v>
      </c>
      <c r="BD53" s="69">
        <v>0</v>
      </c>
      <c r="BE53" s="69">
        <v>0</v>
      </c>
      <c r="BF53" s="69">
        <v>0</v>
      </c>
      <c r="BG53" s="335">
        <v>28808072</v>
      </c>
      <c r="BH53" s="69">
        <v>29372279</v>
      </c>
      <c r="BI53" s="69">
        <v>0</v>
      </c>
      <c r="BJ53" s="69">
        <v>0</v>
      </c>
      <c r="BK53" s="69">
        <v>0</v>
      </c>
      <c r="BL53" s="335">
        <v>29372279</v>
      </c>
      <c r="BM53" s="69">
        <v>19072501.75</v>
      </c>
      <c r="BN53" s="69">
        <v>0</v>
      </c>
      <c r="BO53" s="69">
        <v>0</v>
      </c>
      <c r="BP53" s="69">
        <v>0</v>
      </c>
      <c r="BQ53" s="335">
        <v>19072501.75</v>
      </c>
      <c r="BR53" s="69">
        <v>204620552.25</v>
      </c>
      <c r="BS53" s="69">
        <v>0</v>
      </c>
      <c r="BT53" s="69">
        <v>0</v>
      </c>
      <c r="BU53" s="69">
        <v>0</v>
      </c>
      <c r="BV53" s="335">
        <v>204620552.25</v>
      </c>
      <c r="BW53" s="338"/>
      <c r="BX53" s="374">
        <v>100</v>
      </c>
      <c r="BZ53" s="334">
        <v>0</v>
      </c>
      <c r="CA53" s="334">
        <v>0</v>
      </c>
      <c r="CB53" s="334">
        <v>0</v>
      </c>
      <c r="CC53" s="334">
        <v>0</v>
      </c>
    </row>
    <row r="54" spans="1:81" s="334" customFormat="1" x14ac:dyDescent="0.3">
      <c r="A54" s="333" t="s">
        <v>262</v>
      </c>
      <c r="D54" s="332"/>
      <c r="E54" s="69">
        <v>148797.45000000001</v>
      </c>
      <c r="F54" s="69">
        <v>0</v>
      </c>
      <c r="G54" s="69">
        <v>0</v>
      </c>
      <c r="H54" s="69">
        <v>0</v>
      </c>
      <c r="I54" s="335">
        <v>148797.45000000001</v>
      </c>
      <c r="J54" s="336">
        <v>316</v>
      </c>
      <c r="K54" s="69">
        <v>0</v>
      </c>
      <c r="L54" s="69">
        <v>0</v>
      </c>
      <c r="M54" s="69">
        <v>0</v>
      </c>
      <c r="N54" s="335">
        <v>316</v>
      </c>
      <c r="O54" s="69">
        <v>17220</v>
      </c>
      <c r="P54" s="69">
        <v>0</v>
      </c>
      <c r="Q54" s="69">
        <v>0</v>
      </c>
      <c r="R54" s="69">
        <v>0</v>
      </c>
      <c r="S54" s="335">
        <v>17220</v>
      </c>
      <c r="T54" s="69">
        <v>251</v>
      </c>
      <c r="U54" s="69">
        <v>0</v>
      </c>
      <c r="V54" s="69">
        <v>0</v>
      </c>
      <c r="W54" s="69">
        <v>0</v>
      </c>
      <c r="X54" s="335">
        <v>251</v>
      </c>
      <c r="Y54" s="337">
        <v>737.5</v>
      </c>
      <c r="Z54" s="69">
        <v>0</v>
      </c>
      <c r="AA54" s="69">
        <v>0</v>
      </c>
      <c r="AB54" s="69">
        <v>0</v>
      </c>
      <c r="AC54" s="335">
        <v>737.5</v>
      </c>
      <c r="AD54" s="69">
        <v>669</v>
      </c>
      <c r="AE54" s="69">
        <v>0</v>
      </c>
      <c r="AF54" s="69">
        <v>0</v>
      </c>
      <c r="AG54" s="69">
        <v>0</v>
      </c>
      <c r="AH54" s="335">
        <v>669</v>
      </c>
      <c r="AI54" s="69">
        <v>120</v>
      </c>
      <c r="AJ54" s="69">
        <v>0</v>
      </c>
      <c r="AK54" s="69">
        <v>0</v>
      </c>
      <c r="AL54" s="69">
        <v>0</v>
      </c>
      <c r="AM54" s="335">
        <v>120</v>
      </c>
      <c r="AN54" s="69">
        <v>101263</v>
      </c>
      <c r="AO54" s="69">
        <v>0</v>
      </c>
      <c r="AP54" s="69">
        <v>0</v>
      </c>
      <c r="AQ54" s="69">
        <v>0</v>
      </c>
      <c r="AR54" s="335">
        <v>101263</v>
      </c>
      <c r="AS54" s="69">
        <v>5780</v>
      </c>
      <c r="AT54" s="69">
        <v>0</v>
      </c>
      <c r="AU54" s="69">
        <v>0</v>
      </c>
      <c r="AV54" s="69">
        <v>0</v>
      </c>
      <c r="AW54" s="335">
        <v>5780</v>
      </c>
      <c r="AX54" s="69">
        <v>902</v>
      </c>
      <c r="AY54" s="69">
        <v>0</v>
      </c>
      <c r="AZ54" s="69">
        <v>0</v>
      </c>
      <c r="BA54" s="69">
        <v>0</v>
      </c>
      <c r="BB54" s="335">
        <v>902</v>
      </c>
      <c r="BC54" s="69">
        <v>411</v>
      </c>
      <c r="BD54" s="69">
        <v>0</v>
      </c>
      <c r="BE54" s="69">
        <v>0</v>
      </c>
      <c r="BF54" s="69">
        <v>0</v>
      </c>
      <c r="BG54" s="335">
        <v>411</v>
      </c>
      <c r="BH54" s="69">
        <v>20459</v>
      </c>
      <c r="BI54" s="69">
        <v>0</v>
      </c>
      <c r="BJ54" s="69">
        <v>0</v>
      </c>
      <c r="BK54" s="69">
        <v>0</v>
      </c>
      <c r="BL54" s="335">
        <v>20459</v>
      </c>
      <c r="BM54" s="69">
        <v>668.95</v>
      </c>
      <c r="BN54" s="69">
        <v>0</v>
      </c>
      <c r="BO54" s="69">
        <v>0</v>
      </c>
      <c r="BP54" s="69">
        <v>0</v>
      </c>
      <c r="BQ54" s="335">
        <v>668.95</v>
      </c>
      <c r="BR54" s="69">
        <v>148797.45000000001</v>
      </c>
      <c r="BS54" s="69">
        <v>0</v>
      </c>
      <c r="BT54" s="69">
        <v>0</v>
      </c>
      <c r="BU54" s="69">
        <v>0</v>
      </c>
      <c r="BV54" s="335">
        <v>148797.45000000001</v>
      </c>
      <c r="BW54" s="338"/>
      <c r="BX54" s="374">
        <v>100</v>
      </c>
      <c r="BZ54" s="334">
        <v>0</v>
      </c>
      <c r="CA54" s="334">
        <v>0</v>
      </c>
      <c r="CB54" s="334">
        <v>0</v>
      </c>
      <c r="CC54" s="334">
        <v>0</v>
      </c>
    </row>
    <row r="55" spans="1:81" x14ac:dyDescent="0.3">
      <c r="A55" s="287" t="s">
        <v>263</v>
      </c>
      <c r="B55" s="329"/>
      <c r="D55" s="316"/>
      <c r="E55" s="291">
        <v>0</v>
      </c>
      <c r="F55" s="291">
        <v>505553753</v>
      </c>
      <c r="G55" s="291">
        <v>0</v>
      </c>
      <c r="H55" s="291">
        <v>0</v>
      </c>
      <c r="I55" s="292">
        <v>505553753</v>
      </c>
      <c r="J55" s="290">
        <v>0</v>
      </c>
      <c r="K55" s="291">
        <v>42129484</v>
      </c>
      <c r="L55" s="291">
        <v>0</v>
      </c>
      <c r="M55" s="291">
        <v>0</v>
      </c>
      <c r="N55" s="292">
        <v>42129484</v>
      </c>
      <c r="O55" s="291">
        <v>0</v>
      </c>
      <c r="P55" s="291">
        <v>42129482</v>
      </c>
      <c r="Q55" s="291">
        <v>0</v>
      </c>
      <c r="R55" s="291">
        <v>0</v>
      </c>
      <c r="S55" s="292">
        <v>42129482</v>
      </c>
      <c r="T55" s="291">
        <v>0</v>
      </c>
      <c r="U55" s="291">
        <v>42129482</v>
      </c>
      <c r="V55" s="291">
        <v>0</v>
      </c>
      <c r="W55" s="291">
        <v>0</v>
      </c>
      <c r="X55" s="292">
        <v>42129482</v>
      </c>
      <c r="Y55" s="291">
        <v>0</v>
      </c>
      <c r="Z55" s="291">
        <v>42129482</v>
      </c>
      <c r="AA55" s="291">
        <v>0</v>
      </c>
      <c r="AB55" s="291">
        <v>0</v>
      </c>
      <c r="AC55" s="292">
        <v>42129482</v>
      </c>
      <c r="AD55" s="291">
        <v>0</v>
      </c>
      <c r="AE55" s="291">
        <v>42129480</v>
      </c>
      <c r="AF55" s="291">
        <v>0</v>
      </c>
      <c r="AG55" s="291">
        <v>0</v>
      </c>
      <c r="AH55" s="292">
        <v>42129480</v>
      </c>
      <c r="AI55" s="291">
        <v>0</v>
      </c>
      <c r="AJ55" s="291">
        <v>42129480</v>
      </c>
      <c r="AK55" s="291">
        <v>0</v>
      </c>
      <c r="AL55" s="291">
        <v>0</v>
      </c>
      <c r="AM55" s="292">
        <v>42129480</v>
      </c>
      <c r="AN55" s="291">
        <v>0</v>
      </c>
      <c r="AO55" s="291">
        <v>42129479</v>
      </c>
      <c r="AP55" s="291">
        <v>0</v>
      </c>
      <c r="AQ55" s="291">
        <v>0</v>
      </c>
      <c r="AR55" s="292">
        <v>42129479</v>
      </c>
      <c r="AS55" s="291">
        <v>0</v>
      </c>
      <c r="AT55" s="291">
        <v>42129479</v>
      </c>
      <c r="AU55" s="291">
        <v>0</v>
      </c>
      <c r="AV55" s="291">
        <v>0</v>
      </c>
      <c r="AW55" s="292">
        <v>42129479</v>
      </c>
      <c r="AX55" s="291">
        <v>0</v>
      </c>
      <c r="AY55" s="291">
        <v>42129478</v>
      </c>
      <c r="AZ55" s="291">
        <v>0</v>
      </c>
      <c r="BA55" s="291">
        <v>0</v>
      </c>
      <c r="BB55" s="292">
        <v>42129478</v>
      </c>
      <c r="BC55" s="291">
        <v>0</v>
      </c>
      <c r="BD55" s="291">
        <v>42129477</v>
      </c>
      <c r="BE55" s="291">
        <v>0</v>
      </c>
      <c r="BF55" s="291">
        <v>0</v>
      </c>
      <c r="BG55" s="292">
        <v>42129477</v>
      </c>
      <c r="BH55" s="291">
        <v>0</v>
      </c>
      <c r="BI55" s="291">
        <v>42129475</v>
      </c>
      <c r="BJ55" s="291">
        <v>0</v>
      </c>
      <c r="BK55" s="291">
        <v>0</v>
      </c>
      <c r="BL55" s="292">
        <v>42129475</v>
      </c>
      <c r="BM55" s="291">
        <v>0</v>
      </c>
      <c r="BN55" s="291">
        <v>42129475</v>
      </c>
      <c r="BO55" s="291">
        <v>0</v>
      </c>
      <c r="BP55" s="291">
        <v>0</v>
      </c>
      <c r="BQ55" s="292">
        <v>42129475</v>
      </c>
      <c r="BR55" s="291">
        <v>0</v>
      </c>
      <c r="BS55" s="291">
        <v>505553753</v>
      </c>
      <c r="BT55" s="291">
        <v>0</v>
      </c>
      <c r="BU55" s="291">
        <v>0</v>
      </c>
      <c r="BV55" s="292">
        <v>505553753</v>
      </c>
      <c r="BW55" s="299"/>
      <c r="BX55" s="296">
        <v>100</v>
      </c>
      <c r="BY55" s="245"/>
      <c r="BZ55" s="262">
        <v>0</v>
      </c>
      <c r="CA55" s="262">
        <v>0</v>
      </c>
      <c r="CB55" s="262">
        <v>0</v>
      </c>
      <c r="CC55" s="262">
        <v>0</v>
      </c>
    </row>
    <row r="56" spans="1:81" x14ac:dyDescent="0.3">
      <c r="A56" s="287" t="s">
        <v>264</v>
      </c>
      <c r="B56" s="329"/>
      <c r="D56" s="326"/>
      <c r="E56" s="291">
        <v>0</v>
      </c>
      <c r="F56" s="291">
        <v>13166793</v>
      </c>
      <c r="G56" s="291">
        <v>0</v>
      </c>
      <c r="H56" s="291">
        <v>0</v>
      </c>
      <c r="I56" s="292">
        <v>13166793</v>
      </c>
      <c r="J56" s="290">
        <v>0</v>
      </c>
      <c r="K56" s="291">
        <v>0</v>
      </c>
      <c r="L56" s="291">
        <v>0</v>
      </c>
      <c r="M56" s="291">
        <v>0</v>
      </c>
      <c r="N56" s="292">
        <v>0</v>
      </c>
      <c r="O56" s="291">
        <v>0</v>
      </c>
      <c r="P56" s="291">
        <v>0</v>
      </c>
      <c r="Q56" s="291">
        <v>0</v>
      </c>
      <c r="R56" s="291">
        <v>0</v>
      </c>
      <c r="S56" s="292">
        <v>0</v>
      </c>
      <c r="T56" s="291">
        <v>0</v>
      </c>
      <c r="U56" s="291">
        <v>0</v>
      </c>
      <c r="V56" s="291">
        <v>0</v>
      </c>
      <c r="W56" s="291">
        <v>0</v>
      </c>
      <c r="X56" s="292">
        <v>0</v>
      </c>
      <c r="Y56" s="291">
        <v>0</v>
      </c>
      <c r="Z56" s="291">
        <v>0</v>
      </c>
      <c r="AA56" s="291">
        <v>0</v>
      </c>
      <c r="AB56" s="291">
        <v>0</v>
      </c>
      <c r="AC56" s="292">
        <v>0</v>
      </c>
      <c r="AD56" s="291">
        <v>0</v>
      </c>
      <c r="AE56" s="291">
        <v>4388928</v>
      </c>
      <c r="AF56" s="291">
        <v>0</v>
      </c>
      <c r="AG56" s="291">
        <v>0</v>
      </c>
      <c r="AH56" s="292">
        <v>4388928</v>
      </c>
      <c r="AI56" s="291">
        <v>0</v>
      </c>
      <c r="AJ56" s="291">
        <v>0</v>
      </c>
      <c r="AK56" s="291">
        <v>0</v>
      </c>
      <c r="AL56" s="291">
        <v>0</v>
      </c>
      <c r="AM56" s="292">
        <v>0</v>
      </c>
      <c r="AN56" s="291">
        <v>0</v>
      </c>
      <c r="AO56" s="291">
        <v>0</v>
      </c>
      <c r="AP56" s="291">
        <v>0</v>
      </c>
      <c r="AQ56" s="291">
        <v>0</v>
      </c>
      <c r="AR56" s="292">
        <v>0</v>
      </c>
      <c r="AS56" s="291">
        <v>0</v>
      </c>
      <c r="AT56" s="291">
        <v>0</v>
      </c>
      <c r="AU56" s="291">
        <v>0</v>
      </c>
      <c r="AV56" s="291">
        <v>0</v>
      </c>
      <c r="AW56" s="292">
        <v>0</v>
      </c>
      <c r="AX56" s="291">
        <v>0</v>
      </c>
      <c r="AY56" s="291">
        <v>4388931</v>
      </c>
      <c r="AZ56" s="291">
        <v>0</v>
      </c>
      <c r="BA56" s="291">
        <v>0</v>
      </c>
      <c r="BB56" s="292">
        <v>4388931</v>
      </c>
      <c r="BC56" s="291">
        <v>0</v>
      </c>
      <c r="BD56" s="291">
        <v>0</v>
      </c>
      <c r="BE56" s="291">
        <v>0</v>
      </c>
      <c r="BF56" s="291">
        <v>0</v>
      </c>
      <c r="BG56" s="292">
        <v>0</v>
      </c>
      <c r="BH56" s="291">
        <v>0</v>
      </c>
      <c r="BI56" s="291">
        <v>0</v>
      </c>
      <c r="BJ56" s="291">
        <v>0</v>
      </c>
      <c r="BK56" s="291">
        <v>0</v>
      </c>
      <c r="BL56" s="292">
        <v>0</v>
      </c>
      <c r="BM56" s="291">
        <v>0</v>
      </c>
      <c r="BN56" s="291">
        <v>4388934</v>
      </c>
      <c r="BO56" s="291">
        <v>0</v>
      </c>
      <c r="BP56" s="291">
        <v>0</v>
      </c>
      <c r="BQ56" s="292">
        <v>4388934</v>
      </c>
      <c r="BR56" s="291">
        <v>0</v>
      </c>
      <c r="BS56" s="291">
        <v>13166793</v>
      </c>
      <c r="BT56" s="291">
        <v>0</v>
      </c>
      <c r="BU56" s="291">
        <v>0</v>
      </c>
      <c r="BV56" s="292">
        <v>13166793</v>
      </c>
      <c r="BW56" s="299"/>
      <c r="BX56" s="296">
        <v>100</v>
      </c>
      <c r="BZ56" s="262">
        <v>0</v>
      </c>
      <c r="CA56" s="262">
        <v>0</v>
      </c>
      <c r="CB56" s="262">
        <v>0</v>
      </c>
      <c r="CC56" s="262">
        <v>0</v>
      </c>
    </row>
    <row r="57" spans="1:81" ht="12" customHeight="1" x14ac:dyDescent="0.3">
      <c r="A57" s="287" t="s">
        <v>265</v>
      </c>
      <c r="B57" s="329"/>
      <c r="D57" s="316" t="s">
        <v>88</v>
      </c>
      <c r="E57" s="291">
        <v>0</v>
      </c>
      <c r="F57" s="291">
        <v>0</v>
      </c>
      <c r="G57" s="291">
        <v>0</v>
      </c>
      <c r="H57" s="291">
        <v>468468</v>
      </c>
      <c r="I57" s="292">
        <v>468468</v>
      </c>
      <c r="J57" s="290">
        <v>0</v>
      </c>
      <c r="K57" s="291">
        <v>0</v>
      </c>
      <c r="L57" s="291">
        <v>0</v>
      </c>
      <c r="M57" s="291">
        <v>131872</v>
      </c>
      <c r="N57" s="292">
        <v>131872</v>
      </c>
      <c r="O57" s="291">
        <v>0</v>
      </c>
      <c r="P57" s="291">
        <v>0</v>
      </c>
      <c r="Q57" s="291">
        <v>0</v>
      </c>
      <c r="R57" s="291">
        <v>83878</v>
      </c>
      <c r="S57" s="292">
        <v>83878</v>
      </c>
      <c r="T57" s="291">
        <v>0</v>
      </c>
      <c r="U57" s="291">
        <v>0</v>
      </c>
      <c r="V57" s="291">
        <v>0</v>
      </c>
      <c r="W57" s="291">
        <v>23306</v>
      </c>
      <c r="X57" s="292">
        <v>23306</v>
      </c>
      <c r="Y57" s="291">
        <v>0</v>
      </c>
      <c r="Z57" s="291">
        <v>0</v>
      </c>
      <c r="AA57" s="291">
        <v>0</v>
      </c>
      <c r="AB57" s="291">
        <v>119906</v>
      </c>
      <c r="AC57" s="292">
        <v>119906</v>
      </c>
      <c r="AD57" s="291">
        <v>0</v>
      </c>
      <c r="AE57" s="291">
        <v>0</v>
      </c>
      <c r="AF57" s="291">
        <v>0</v>
      </c>
      <c r="AG57" s="291">
        <v>230</v>
      </c>
      <c r="AH57" s="292">
        <v>230</v>
      </c>
      <c r="AI57" s="291">
        <v>0</v>
      </c>
      <c r="AJ57" s="291">
        <v>0</v>
      </c>
      <c r="AK57" s="291">
        <v>0</v>
      </c>
      <c r="AL57" s="291">
        <v>21</v>
      </c>
      <c r="AM57" s="292">
        <v>21</v>
      </c>
      <c r="AN57" s="291">
        <v>0</v>
      </c>
      <c r="AO57" s="291">
        <v>0</v>
      </c>
      <c r="AP57" s="291">
        <v>0</v>
      </c>
      <c r="AQ57" s="291">
        <v>30</v>
      </c>
      <c r="AR57" s="292">
        <v>30</v>
      </c>
      <c r="AS57" s="291">
        <v>0</v>
      </c>
      <c r="AT57" s="291">
        <v>0</v>
      </c>
      <c r="AU57" s="291">
        <v>0</v>
      </c>
      <c r="AV57" s="291">
        <v>1363</v>
      </c>
      <c r="AW57" s="292">
        <v>1363</v>
      </c>
      <c r="AX57" s="291">
        <v>0</v>
      </c>
      <c r="AY57" s="291">
        <v>0</v>
      </c>
      <c r="AZ57" s="291">
        <v>0</v>
      </c>
      <c r="BA57" s="291">
        <v>107525</v>
      </c>
      <c r="BB57" s="292">
        <v>107525</v>
      </c>
      <c r="BC57" s="291">
        <v>0</v>
      </c>
      <c r="BD57" s="291">
        <v>0</v>
      </c>
      <c r="BE57" s="291">
        <v>0</v>
      </c>
      <c r="BF57" s="291">
        <v>298</v>
      </c>
      <c r="BG57" s="292">
        <v>298</v>
      </c>
      <c r="BH57" s="291">
        <v>0</v>
      </c>
      <c r="BI57" s="291">
        <v>0</v>
      </c>
      <c r="BJ57" s="291">
        <v>0</v>
      </c>
      <c r="BK57" s="291">
        <v>0</v>
      </c>
      <c r="BL57" s="292">
        <v>0</v>
      </c>
      <c r="BM57" s="291">
        <v>0</v>
      </c>
      <c r="BN57" s="291">
        <v>0</v>
      </c>
      <c r="BO57" s="291">
        <v>0</v>
      </c>
      <c r="BP57" s="291">
        <v>39</v>
      </c>
      <c r="BQ57" s="292">
        <v>39</v>
      </c>
      <c r="BR57" s="291">
        <v>0</v>
      </c>
      <c r="BS57" s="291">
        <v>0</v>
      </c>
      <c r="BT57" s="291">
        <v>0</v>
      </c>
      <c r="BU57" s="291">
        <v>468468</v>
      </c>
      <c r="BV57" s="292">
        <v>468468</v>
      </c>
      <c r="BW57" s="299"/>
      <c r="BX57" s="296">
        <v>100</v>
      </c>
      <c r="BZ57" s="262">
        <v>0</v>
      </c>
      <c r="CA57" s="262">
        <v>0</v>
      </c>
      <c r="CB57" s="262">
        <v>0</v>
      </c>
      <c r="CC57" s="262">
        <v>0</v>
      </c>
    </row>
    <row r="58" spans="1:81" ht="12.75" hidden="1" x14ac:dyDescent="0.2">
      <c r="A58" s="287" t="s">
        <v>305</v>
      </c>
      <c r="B58" s="329"/>
      <c r="D58" s="316" t="s">
        <v>116</v>
      </c>
      <c r="E58" s="291">
        <v>0</v>
      </c>
      <c r="F58" s="291">
        <v>0</v>
      </c>
      <c r="G58" s="291">
        <v>0</v>
      </c>
      <c r="H58" s="291">
        <v>0</v>
      </c>
      <c r="I58" s="292">
        <v>0</v>
      </c>
      <c r="J58" s="290">
        <v>0</v>
      </c>
      <c r="K58" s="291">
        <v>0</v>
      </c>
      <c r="L58" s="291">
        <v>0</v>
      </c>
      <c r="M58" s="291">
        <v>13500000</v>
      </c>
      <c r="N58" s="292">
        <v>13500000</v>
      </c>
      <c r="O58" s="291">
        <v>0</v>
      </c>
      <c r="P58" s="291">
        <v>0</v>
      </c>
      <c r="Q58" s="291">
        <v>0</v>
      </c>
      <c r="R58" s="291">
        <v>0</v>
      </c>
      <c r="S58" s="292">
        <v>0</v>
      </c>
      <c r="T58" s="291">
        <v>0</v>
      </c>
      <c r="U58" s="291">
        <v>0</v>
      </c>
      <c r="V58" s="291">
        <v>0</v>
      </c>
      <c r="W58" s="291">
        <v>0</v>
      </c>
      <c r="X58" s="292">
        <v>0</v>
      </c>
      <c r="Y58" s="291">
        <v>0</v>
      </c>
      <c r="Z58" s="291">
        <v>0</v>
      </c>
      <c r="AA58" s="291">
        <v>0</v>
      </c>
      <c r="AB58" s="291">
        <v>0</v>
      </c>
      <c r="AC58" s="292">
        <v>0</v>
      </c>
      <c r="AD58" s="291">
        <v>0</v>
      </c>
      <c r="AE58" s="291">
        <v>0</v>
      </c>
      <c r="AF58" s="291">
        <v>0</v>
      </c>
      <c r="AG58" s="291">
        <v>0</v>
      </c>
      <c r="AH58" s="292">
        <v>0</v>
      </c>
      <c r="AI58" s="291">
        <v>0</v>
      </c>
      <c r="AJ58" s="291">
        <v>0</v>
      </c>
      <c r="AK58" s="291">
        <v>0</v>
      </c>
      <c r="AL58" s="291">
        <v>-13500000</v>
      </c>
      <c r="AM58" s="292">
        <v>-13500000</v>
      </c>
      <c r="AN58" s="291">
        <v>0</v>
      </c>
      <c r="AO58" s="291">
        <v>0</v>
      </c>
      <c r="AP58" s="291">
        <v>0</v>
      </c>
      <c r="AQ58" s="291">
        <v>0</v>
      </c>
      <c r="AR58" s="292">
        <v>0</v>
      </c>
      <c r="AS58" s="291">
        <v>0</v>
      </c>
      <c r="AT58" s="291">
        <v>0</v>
      </c>
      <c r="AU58" s="291">
        <v>0</v>
      </c>
      <c r="AV58" s="291">
        <v>0</v>
      </c>
      <c r="AW58" s="292">
        <v>0</v>
      </c>
      <c r="AX58" s="291">
        <v>0</v>
      </c>
      <c r="AY58" s="291">
        <v>0</v>
      </c>
      <c r="AZ58" s="291">
        <v>0</v>
      </c>
      <c r="BA58" s="291">
        <v>0</v>
      </c>
      <c r="BB58" s="292">
        <v>0</v>
      </c>
      <c r="BC58" s="291">
        <v>0</v>
      </c>
      <c r="BD58" s="291">
        <v>0</v>
      </c>
      <c r="BE58" s="291">
        <v>0</v>
      </c>
      <c r="BF58" s="291">
        <v>0</v>
      </c>
      <c r="BG58" s="292">
        <v>0</v>
      </c>
      <c r="BH58" s="291">
        <v>0</v>
      </c>
      <c r="BI58" s="291">
        <v>0</v>
      </c>
      <c r="BJ58" s="291">
        <v>0</v>
      </c>
      <c r="BK58" s="291">
        <v>0</v>
      </c>
      <c r="BL58" s="292">
        <v>0</v>
      </c>
      <c r="BM58" s="291">
        <v>0</v>
      </c>
      <c r="BN58" s="291">
        <v>0</v>
      </c>
      <c r="BO58" s="291">
        <v>0</v>
      </c>
      <c r="BP58" s="291">
        <v>0</v>
      </c>
      <c r="BQ58" s="292">
        <v>0</v>
      </c>
      <c r="BR58" s="291">
        <v>0</v>
      </c>
      <c r="BS58" s="291">
        <v>0</v>
      </c>
      <c r="BT58" s="291">
        <v>0</v>
      </c>
      <c r="BU58" s="291">
        <v>0</v>
      </c>
      <c r="BV58" s="292">
        <v>0</v>
      </c>
      <c r="BW58" s="299"/>
      <c r="BX58" s="296">
        <v>0</v>
      </c>
      <c r="BZ58" s="262">
        <v>0</v>
      </c>
      <c r="CA58" s="262">
        <v>0</v>
      </c>
      <c r="CB58" s="262">
        <v>0</v>
      </c>
      <c r="CC58" s="262">
        <v>0</v>
      </c>
    </row>
    <row r="59" spans="1:81" ht="12.75" hidden="1" x14ac:dyDescent="0.2">
      <c r="A59" s="287" t="s">
        <v>306</v>
      </c>
      <c r="B59" s="329"/>
      <c r="D59" s="316" t="s">
        <v>116</v>
      </c>
      <c r="E59" s="291">
        <v>0</v>
      </c>
      <c r="F59" s="291">
        <v>0</v>
      </c>
      <c r="G59" s="291">
        <v>0</v>
      </c>
      <c r="H59" s="291">
        <v>0</v>
      </c>
      <c r="I59" s="292">
        <v>0</v>
      </c>
      <c r="J59" s="290">
        <v>0</v>
      </c>
      <c r="K59" s="291">
        <v>0</v>
      </c>
      <c r="L59" s="291">
        <v>0</v>
      </c>
      <c r="M59" s="291">
        <v>0</v>
      </c>
      <c r="N59" s="292">
        <v>0</v>
      </c>
      <c r="O59" s="291">
        <v>0</v>
      </c>
      <c r="P59" s="291">
        <v>0</v>
      </c>
      <c r="Q59" s="291">
        <v>0</v>
      </c>
      <c r="R59" s="291">
        <v>0</v>
      </c>
      <c r="S59" s="292">
        <v>0</v>
      </c>
      <c r="T59" s="291">
        <v>0</v>
      </c>
      <c r="U59" s="291">
        <v>0</v>
      </c>
      <c r="V59" s="291">
        <v>0</v>
      </c>
      <c r="W59" s="291">
        <v>0</v>
      </c>
      <c r="X59" s="292">
        <v>0</v>
      </c>
      <c r="Y59" s="291">
        <v>0</v>
      </c>
      <c r="Z59" s="291">
        <v>0</v>
      </c>
      <c r="AA59" s="291">
        <v>0</v>
      </c>
      <c r="AB59" s="291">
        <v>0</v>
      </c>
      <c r="AC59" s="292">
        <v>0</v>
      </c>
      <c r="AD59" s="291">
        <v>0</v>
      </c>
      <c r="AE59" s="291">
        <v>0</v>
      </c>
      <c r="AF59" s="291">
        <v>0</v>
      </c>
      <c r="AG59" s="291">
        <v>3800000</v>
      </c>
      <c r="AH59" s="292">
        <v>3800000</v>
      </c>
      <c r="AI59" s="291">
        <v>0</v>
      </c>
      <c r="AJ59" s="291">
        <v>0</v>
      </c>
      <c r="AK59" s="291">
        <v>0</v>
      </c>
      <c r="AL59" s="291">
        <v>3800000</v>
      </c>
      <c r="AM59" s="292">
        <v>3800000</v>
      </c>
      <c r="AN59" s="291">
        <v>0</v>
      </c>
      <c r="AO59" s="291">
        <v>0</v>
      </c>
      <c r="AP59" s="291">
        <v>0</v>
      </c>
      <c r="AQ59" s="291">
        <v>2100000</v>
      </c>
      <c r="AR59" s="292">
        <v>2100000</v>
      </c>
      <c r="AS59" s="291">
        <v>0</v>
      </c>
      <c r="AT59" s="291">
        <v>0</v>
      </c>
      <c r="AU59" s="291">
        <v>0</v>
      </c>
      <c r="AV59" s="291">
        <v>0</v>
      </c>
      <c r="AW59" s="292">
        <v>0</v>
      </c>
      <c r="AX59" s="291">
        <v>0</v>
      </c>
      <c r="AY59" s="291">
        <v>0</v>
      </c>
      <c r="AZ59" s="291">
        <v>0</v>
      </c>
      <c r="BA59" s="291">
        <v>0</v>
      </c>
      <c r="BB59" s="292">
        <v>0</v>
      </c>
      <c r="BC59" s="291">
        <v>0</v>
      </c>
      <c r="BD59" s="291">
        <v>0</v>
      </c>
      <c r="BE59" s="291">
        <v>0</v>
      </c>
      <c r="BF59" s="291">
        <v>-9700000</v>
      </c>
      <c r="BG59" s="292">
        <v>-9700000</v>
      </c>
      <c r="BH59" s="291">
        <v>0</v>
      </c>
      <c r="BI59" s="291">
        <v>0</v>
      </c>
      <c r="BJ59" s="291">
        <v>0</v>
      </c>
      <c r="BK59" s="291">
        <v>0</v>
      </c>
      <c r="BL59" s="292">
        <v>0</v>
      </c>
      <c r="BM59" s="291">
        <v>0</v>
      </c>
      <c r="BN59" s="291">
        <v>0</v>
      </c>
      <c r="BO59" s="291">
        <v>0</v>
      </c>
      <c r="BP59" s="291">
        <v>0</v>
      </c>
      <c r="BQ59" s="292">
        <v>0</v>
      </c>
      <c r="BR59" s="291">
        <v>0</v>
      </c>
      <c r="BS59" s="291">
        <v>0</v>
      </c>
      <c r="BT59" s="291">
        <v>0</v>
      </c>
      <c r="BU59" s="291">
        <v>0</v>
      </c>
      <c r="BV59" s="292">
        <v>0</v>
      </c>
      <c r="BW59" s="299"/>
      <c r="BX59" s="296">
        <v>0</v>
      </c>
      <c r="BZ59" s="262">
        <v>0</v>
      </c>
      <c r="CA59" s="262">
        <v>0</v>
      </c>
      <c r="CB59" s="262">
        <v>0</v>
      </c>
      <c r="CC59" s="262">
        <v>0</v>
      </c>
    </row>
    <row r="60" spans="1:81" ht="12.75" hidden="1" x14ac:dyDescent="0.2">
      <c r="A60" s="333" t="s">
        <v>307</v>
      </c>
      <c r="B60" s="329"/>
      <c r="D60" s="316"/>
      <c r="E60" s="291">
        <v>0</v>
      </c>
      <c r="F60" s="291">
        <v>0</v>
      </c>
      <c r="G60" s="291">
        <v>0</v>
      </c>
      <c r="H60" s="291">
        <v>0</v>
      </c>
      <c r="I60" s="292">
        <v>0</v>
      </c>
      <c r="J60" s="290">
        <v>0</v>
      </c>
      <c r="K60" s="291">
        <v>0</v>
      </c>
      <c r="L60" s="291">
        <v>0</v>
      </c>
      <c r="M60" s="291">
        <v>0</v>
      </c>
      <c r="N60" s="292">
        <v>0</v>
      </c>
      <c r="O60" s="291">
        <v>0</v>
      </c>
      <c r="P60" s="291">
        <v>0</v>
      </c>
      <c r="Q60" s="291">
        <v>0</v>
      </c>
      <c r="R60" s="291">
        <v>0</v>
      </c>
      <c r="S60" s="292">
        <v>0</v>
      </c>
      <c r="T60" s="291">
        <v>0</v>
      </c>
      <c r="U60" s="291">
        <v>0</v>
      </c>
      <c r="V60" s="291">
        <v>0</v>
      </c>
      <c r="W60" s="291">
        <v>0</v>
      </c>
      <c r="X60" s="292">
        <v>0</v>
      </c>
      <c r="Y60" s="291">
        <v>0</v>
      </c>
      <c r="Z60" s="291">
        <v>0</v>
      </c>
      <c r="AA60" s="291">
        <v>0</v>
      </c>
      <c r="AB60" s="291">
        <v>0</v>
      </c>
      <c r="AC60" s="292">
        <v>0</v>
      </c>
      <c r="AD60" s="69">
        <v>0</v>
      </c>
      <c r="AE60" s="69">
        <v>0</v>
      </c>
      <c r="AF60" s="69">
        <v>0</v>
      </c>
      <c r="AG60" s="69">
        <v>2000000</v>
      </c>
      <c r="AH60" s="335">
        <v>2000000</v>
      </c>
      <c r="AI60" s="291">
        <v>0</v>
      </c>
      <c r="AJ60" s="291">
        <v>0</v>
      </c>
      <c r="AK60" s="291">
        <v>0</v>
      </c>
      <c r="AL60" s="69">
        <v>3500000</v>
      </c>
      <c r="AM60" s="335">
        <v>3500000</v>
      </c>
      <c r="AN60" s="291">
        <v>0</v>
      </c>
      <c r="AO60" s="291">
        <v>0</v>
      </c>
      <c r="AP60" s="291">
        <v>0</v>
      </c>
      <c r="AQ60" s="291">
        <v>0</v>
      </c>
      <c r="AR60" s="292">
        <v>0</v>
      </c>
      <c r="AS60" s="291">
        <v>0</v>
      </c>
      <c r="AT60" s="291">
        <v>0</v>
      </c>
      <c r="AU60" s="291">
        <v>0</v>
      </c>
      <c r="AV60" s="291">
        <v>0</v>
      </c>
      <c r="AW60" s="292">
        <v>0</v>
      </c>
      <c r="AX60" s="291">
        <v>0</v>
      </c>
      <c r="AY60" s="291">
        <v>0</v>
      </c>
      <c r="AZ60" s="291">
        <v>0</v>
      </c>
      <c r="BA60" s="291">
        <v>0</v>
      </c>
      <c r="BB60" s="292">
        <v>0</v>
      </c>
      <c r="BC60" s="291">
        <v>0</v>
      </c>
      <c r="BD60" s="291">
        <v>0</v>
      </c>
      <c r="BE60" s="291">
        <v>0</v>
      </c>
      <c r="BF60" s="291">
        <v>-5500000</v>
      </c>
      <c r="BG60" s="292">
        <v>-5500000</v>
      </c>
      <c r="BH60" s="291">
        <v>0</v>
      </c>
      <c r="BI60" s="291">
        <v>0</v>
      </c>
      <c r="BJ60" s="291">
        <v>0</v>
      </c>
      <c r="BK60" s="291">
        <v>0</v>
      </c>
      <c r="BL60" s="292">
        <v>0</v>
      </c>
      <c r="BM60" s="291">
        <v>0</v>
      </c>
      <c r="BN60" s="291">
        <v>0</v>
      </c>
      <c r="BO60" s="291">
        <v>0</v>
      </c>
      <c r="BP60" s="291">
        <v>0</v>
      </c>
      <c r="BQ60" s="292">
        <v>0</v>
      </c>
      <c r="BR60" s="69">
        <v>0</v>
      </c>
      <c r="BS60" s="69">
        <v>0</v>
      </c>
      <c r="BT60" s="69">
        <v>0</v>
      </c>
      <c r="BU60" s="69">
        <v>0</v>
      </c>
      <c r="BV60" s="335">
        <v>0</v>
      </c>
      <c r="BW60" s="299"/>
      <c r="BX60" s="296">
        <v>0</v>
      </c>
      <c r="BZ60" s="262">
        <v>0</v>
      </c>
      <c r="CA60" s="262">
        <v>0</v>
      </c>
      <c r="CB60" s="262">
        <v>0</v>
      </c>
      <c r="CC60" s="262">
        <v>0</v>
      </c>
    </row>
    <row r="61" spans="1:81" ht="12.75" hidden="1" x14ac:dyDescent="0.2">
      <c r="A61" s="333" t="s">
        <v>308</v>
      </c>
      <c r="B61" s="329"/>
      <c r="D61" s="316"/>
      <c r="E61" s="291">
        <v>0</v>
      </c>
      <c r="F61" s="291">
        <v>0</v>
      </c>
      <c r="G61" s="291">
        <v>0</v>
      </c>
      <c r="H61" s="291">
        <v>0</v>
      </c>
      <c r="I61" s="292">
        <v>0</v>
      </c>
      <c r="J61" s="290">
        <v>0</v>
      </c>
      <c r="K61" s="291">
        <v>0</v>
      </c>
      <c r="L61" s="291">
        <v>0</v>
      </c>
      <c r="M61" s="291">
        <v>0</v>
      </c>
      <c r="N61" s="292">
        <v>0</v>
      </c>
      <c r="O61" s="291">
        <v>0</v>
      </c>
      <c r="P61" s="291">
        <v>0</v>
      </c>
      <c r="Q61" s="291">
        <v>0</v>
      </c>
      <c r="R61" s="291">
        <v>0</v>
      </c>
      <c r="S61" s="292">
        <v>0</v>
      </c>
      <c r="T61" s="291">
        <v>0</v>
      </c>
      <c r="U61" s="291">
        <v>0</v>
      </c>
      <c r="V61" s="291">
        <v>0</v>
      </c>
      <c r="W61" s="291">
        <v>0</v>
      </c>
      <c r="X61" s="292">
        <v>0</v>
      </c>
      <c r="Y61" s="291">
        <v>0</v>
      </c>
      <c r="Z61" s="291">
        <v>0</v>
      </c>
      <c r="AA61" s="291">
        <v>0</v>
      </c>
      <c r="AB61" s="291">
        <v>0</v>
      </c>
      <c r="AC61" s="292">
        <v>0</v>
      </c>
      <c r="AD61" s="69">
        <v>0</v>
      </c>
      <c r="AE61" s="69">
        <v>0</v>
      </c>
      <c r="AF61" s="69">
        <v>0</v>
      </c>
      <c r="AG61" s="69">
        <v>0</v>
      </c>
      <c r="AH61" s="335">
        <v>0</v>
      </c>
      <c r="AI61" s="291">
        <v>0</v>
      </c>
      <c r="AJ61" s="291">
        <v>0</v>
      </c>
      <c r="AK61" s="291">
        <v>0</v>
      </c>
      <c r="AL61" s="69">
        <v>300000</v>
      </c>
      <c r="AM61" s="335">
        <v>300000</v>
      </c>
      <c r="AN61" s="291">
        <v>0</v>
      </c>
      <c r="AO61" s="291">
        <v>0</v>
      </c>
      <c r="AP61" s="291">
        <v>0</v>
      </c>
      <c r="AQ61" s="291">
        <v>0</v>
      </c>
      <c r="AR61" s="292">
        <v>0</v>
      </c>
      <c r="AS61" s="291">
        <v>0</v>
      </c>
      <c r="AT61" s="291">
        <v>0</v>
      </c>
      <c r="AU61" s="291">
        <v>0</v>
      </c>
      <c r="AV61" s="291">
        <v>0</v>
      </c>
      <c r="AW61" s="292">
        <v>0</v>
      </c>
      <c r="AX61" s="291">
        <v>0</v>
      </c>
      <c r="AY61" s="291">
        <v>0</v>
      </c>
      <c r="AZ61" s="291">
        <v>0</v>
      </c>
      <c r="BA61" s="291">
        <v>0</v>
      </c>
      <c r="BB61" s="292">
        <v>0</v>
      </c>
      <c r="BC61" s="291">
        <v>0</v>
      </c>
      <c r="BD61" s="291">
        <v>0</v>
      </c>
      <c r="BE61" s="291">
        <v>0</v>
      </c>
      <c r="BF61" s="291">
        <v>-300000</v>
      </c>
      <c r="BG61" s="292">
        <v>-300000</v>
      </c>
      <c r="BH61" s="291">
        <v>0</v>
      </c>
      <c r="BI61" s="291">
        <v>0</v>
      </c>
      <c r="BJ61" s="291">
        <v>0</v>
      </c>
      <c r="BK61" s="291">
        <v>0</v>
      </c>
      <c r="BL61" s="292">
        <v>0</v>
      </c>
      <c r="BM61" s="291">
        <v>0</v>
      </c>
      <c r="BN61" s="291">
        <v>0</v>
      </c>
      <c r="BO61" s="291">
        <v>0</v>
      </c>
      <c r="BP61" s="291">
        <v>0</v>
      </c>
      <c r="BQ61" s="292">
        <v>0</v>
      </c>
      <c r="BR61" s="69">
        <v>0</v>
      </c>
      <c r="BS61" s="69">
        <v>0</v>
      </c>
      <c r="BT61" s="69">
        <v>0</v>
      </c>
      <c r="BU61" s="69">
        <v>0</v>
      </c>
      <c r="BV61" s="335">
        <v>0</v>
      </c>
      <c r="BW61" s="299"/>
      <c r="BX61" s="296">
        <v>0</v>
      </c>
      <c r="BZ61" s="262">
        <v>0</v>
      </c>
      <c r="CA61" s="262">
        <v>0</v>
      </c>
      <c r="CB61" s="262">
        <v>0</v>
      </c>
      <c r="CC61" s="262">
        <v>0</v>
      </c>
    </row>
    <row r="62" spans="1:81" ht="12.75" hidden="1" x14ac:dyDescent="0.2">
      <c r="A62" s="333" t="s">
        <v>309</v>
      </c>
      <c r="B62" s="329"/>
      <c r="D62" s="316"/>
      <c r="E62" s="291">
        <v>0</v>
      </c>
      <c r="F62" s="291">
        <v>0</v>
      </c>
      <c r="G62" s="291">
        <v>0</v>
      </c>
      <c r="H62" s="291">
        <v>0</v>
      </c>
      <c r="I62" s="292">
        <v>0</v>
      </c>
      <c r="J62" s="290">
        <v>0</v>
      </c>
      <c r="K62" s="291">
        <v>0</v>
      </c>
      <c r="L62" s="291">
        <v>0</v>
      </c>
      <c r="M62" s="291">
        <v>0</v>
      </c>
      <c r="N62" s="292">
        <v>0</v>
      </c>
      <c r="O62" s="291">
        <v>0</v>
      </c>
      <c r="P62" s="291">
        <v>0</v>
      </c>
      <c r="Q62" s="291">
        <v>0</v>
      </c>
      <c r="R62" s="291">
        <v>0</v>
      </c>
      <c r="S62" s="292">
        <v>0</v>
      </c>
      <c r="T62" s="291">
        <v>0</v>
      </c>
      <c r="U62" s="291">
        <v>0</v>
      </c>
      <c r="V62" s="291">
        <v>0</v>
      </c>
      <c r="W62" s="291">
        <v>0</v>
      </c>
      <c r="X62" s="292">
        <v>0</v>
      </c>
      <c r="Y62" s="291">
        <v>0</v>
      </c>
      <c r="Z62" s="291">
        <v>0</v>
      </c>
      <c r="AA62" s="291">
        <v>0</v>
      </c>
      <c r="AB62" s="291">
        <v>0</v>
      </c>
      <c r="AC62" s="292">
        <v>0</v>
      </c>
      <c r="AD62" s="69">
        <v>0</v>
      </c>
      <c r="AE62" s="69">
        <v>0</v>
      </c>
      <c r="AF62" s="69">
        <v>0</v>
      </c>
      <c r="AG62" s="69">
        <v>1800000</v>
      </c>
      <c r="AH62" s="335">
        <v>1800000</v>
      </c>
      <c r="AI62" s="291">
        <v>0</v>
      </c>
      <c r="AJ62" s="291">
        <v>0</v>
      </c>
      <c r="AK62" s="291">
        <v>0</v>
      </c>
      <c r="AL62" s="291">
        <v>0</v>
      </c>
      <c r="AM62" s="292">
        <v>0</v>
      </c>
      <c r="AN62" s="291">
        <v>0</v>
      </c>
      <c r="AO62" s="291">
        <v>0</v>
      </c>
      <c r="AP62" s="291">
        <v>0</v>
      </c>
      <c r="AQ62" s="291">
        <v>0</v>
      </c>
      <c r="AR62" s="292">
        <v>0</v>
      </c>
      <c r="AS62" s="291">
        <v>0</v>
      </c>
      <c r="AT62" s="291">
        <v>0</v>
      </c>
      <c r="AU62" s="291">
        <v>0</v>
      </c>
      <c r="AV62" s="291">
        <v>0</v>
      </c>
      <c r="AW62" s="292">
        <v>0</v>
      </c>
      <c r="AX62" s="291">
        <v>0</v>
      </c>
      <c r="AY62" s="291">
        <v>0</v>
      </c>
      <c r="AZ62" s="291">
        <v>0</v>
      </c>
      <c r="BA62" s="291">
        <v>0</v>
      </c>
      <c r="BB62" s="292">
        <v>0</v>
      </c>
      <c r="BC62" s="291">
        <v>0</v>
      </c>
      <c r="BD62" s="291">
        <v>0</v>
      </c>
      <c r="BE62" s="291">
        <v>0</v>
      </c>
      <c r="BF62" s="291">
        <v>-1800000</v>
      </c>
      <c r="BG62" s="292">
        <v>-1800000</v>
      </c>
      <c r="BH62" s="291">
        <v>0</v>
      </c>
      <c r="BI62" s="291">
        <v>0</v>
      </c>
      <c r="BJ62" s="291">
        <v>0</v>
      </c>
      <c r="BK62" s="291">
        <v>0</v>
      </c>
      <c r="BL62" s="292">
        <v>0</v>
      </c>
      <c r="BM62" s="291">
        <v>0</v>
      </c>
      <c r="BN62" s="291">
        <v>0</v>
      </c>
      <c r="BO62" s="291">
        <v>0</v>
      </c>
      <c r="BP62" s="291">
        <v>0</v>
      </c>
      <c r="BQ62" s="292">
        <v>0</v>
      </c>
      <c r="BR62" s="69">
        <v>0</v>
      </c>
      <c r="BS62" s="69">
        <v>0</v>
      </c>
      <c r="BT62" s="69">
        <v>0</v>
      </c>
      <c r="BU62" s="69">
        <v>0</v>
      </c>
      <c r="BV62" s="335">
        <v>0</v>
      </c>
      <c r="BW62" s="299"/>
      <c r="BX62" s="296">
        <v>0</v>
      </c>
      <c r="BZ62" s="262">
        <v>0</v>
      </c>
      <c r="CA62" s="262">
        <v>0</v>
      </c>
      <c r="CB62" s="262">
        <v>0</v>
      </c>
      <c r="CC62" s="262">
        <v>0</v>
      </c>
    </row>
    <row r="63" spans="1:81" ht="12.75" hidden="1" x14ac:dyDescent="0.2">
      <c r="A63" s="333" t="s">
        <v>31</v>
      </c>
      <c r="B63" s="329"/>
      <c r="D63" s="316"/>
      <c r="E63" s="291">
        <v>0</v>
      </c>
      <c r="F63" s="291">
        <v>0</v>
      </c>
      <c r="G63" s="291">
        <v>0</v>
      </c>
      <c r="H63" s="291">
        <v>0</v>
      </c>
      <c r="I63" s="292">
        <v>0</v>
      </c>
      <c r="J63" s="290">
        <v>0</v>
      </c>
      <c r="K63" s="291">
        <v>0</v>
      </c>
      <c r="L63" s="291">
        <v>0</v>
      </c>
      <c r="M63" s="291">
        <v>0</v>
      </c>
      <c r="N63" s="292">
        <v>0</v>
      </c>
      <c r="O63" s="291">
        <v>0</v>
      </c>
      <c r="P63" s="291">
        <v>0</v>
      </c>
      <c r="Q63" s="291">
        <v>0</v>
      </c>
      <c r="R63" s="291">
        <v>0</v>
      </c>
      <c r="S63" s="292">
        <v>0</v>
      </c>
      <c r="T63" s="291">
        <v>0</v>
      </c>
      <c r="U63" s="291">
        <v>0</v>
      </c>
      <c r="V63" s="291">
        <v>0</v>
      </c>
      <c r="W63" s="291">
        <v>0</v>
      </c>
      <c r="X63" s="292">
        <v>0</v>
      </c>
      <c r="Y63" s="291">
        <v>0</v>
      </c>
      <c r="Z63" s="291">
        <v>0</v>
      </c>
      <c r="AA63" s="291">
        <v>0</v>
      </c>
      <c r="AB63" s="291">
        <v>0</v>
      </c>
      <c r="AC63" s="292">
        <v>0</v>
      </c>
      <c r="AD63" s="69">
        <v>0</v>
      </c>
      <c r="AE63" s="69">
        <v>0</v>
      </c>
      <c r="AF63" s="69">
        <v>0</v>
      </c>
      <c r="AG63" s="69">
        <v>0</v>
      </c>
      <c r="AH63" s="335">
        <v>0</v>
      </c>
      <c r="AI63" s="291">
        <v>0</v>
      </c>
      <c r="AJ63" s="291">
        <v>0</v>
      </c>
      <c r="AK63" s="291">
        <v>0</v>
      </c>
      <c r="AL63" s="291">
        <v>0</v>
      </c>
      <c r="AM63" s="292">
        <v>0</v>
      </c>
      <c r="AN63" s="291">
        <v>0</v>
      </c>
      <c r="AO63" s="291">
        <v>0</v>
      </c>
      <c r="AP63" s="291">
        <v>0</v>
      </c>
      <c r="AQ63" s="291">
        <v>2100000</v>
      </c>
      <c r="AR63" s="292">
        <v>2100000</v>
      </c>
      <c r="AS63" s="291">
        <v>0</v>
      </c>
      <c r="AT63" s="291">
        <v>0</v>
      </c>
      <c r="AU63" s="291">
        <v>0</v>
      </c>
      <c r="AV63" s="291">
        <v>0</v>
      </c>
      <c r="AW63" s="292">
        <v>0</v>
      </c>
      <c r="AX63" s="291">
        <v>0</v>
      </c>
      <c r="AY63" s="291">
        <v>0</v>
      </c>
      <c r="AZ63" s="291">
        <v>0</v>
      </c>
      <c r="BA63" s="291">
        <v>0</v>
      </c>
      <c r="BB63" s="292">
        <v>0</v>
      </c>
      <c r="BC63" s="291">
        <v>0</v>
      </c>
      <c r="BD63" s="291">
        <v>0</v>
      </c>
      <c r="BE63" s="291">
        <v>0</v>
      </c>
      <c r="BF63" s="291">
        <v>-2100000</v>
      </c>
      <c r="BG63" s="292">
        <v>-2100000</v>
      </c>
      <c r="BH63" s="291">
        <v>0</v>
      </c>
      <c r="BI63" s="291">
        <v>0</v>
      </c>
      <c r="BJ63" s="291">
        <v>0</v>
      </c>
      <c r="BK63" s="291">
        <v>0</v>
      </c>
      <c r="BL63" s="292">
        <v>0</v>
      </c>
      <c r="BM63" s="291">
        <v>0</v>
      </c>
      <c r="BN63" s="291">
        <v>0</v>
      </c>
      <c r="BO63" s="291">
        <v>0</v>
      </c>
      <c r="BP63" s="291">
        <v>0</v>
      </c>
      <c r="BQ63" s="292">
        <v>0</v>
      </c>
      <c r="BR63" s="69">
        <v>0</v>
      </c>
      <c r="BS63" s="69">
        <v>0</v>
      </c>
      <c r="BT63" s="69">
        <v>0</v>
      </c>
      <c r="BU63" s="69">
        <v>0</v>
      </c>
      <c r="BV63" s="335">
        <v>0</v>
      </c>
      <c r="BW63" s="299"/>
      <c r="BX63" s="296">
        <v>0</v>
      </c>
      <c r="BZ63" s="262">
        <v>0</v>
      </c>
      <c r="CA63" s="262">
        <v>0</v>
      </c>
      <c r="CB63" s="262">
        <v>0</v>
      </c>
      <c r="CC63" s="262">
        <v>0</v>
      </c>
    </row>
    <row r="64" spans="1:81" x14ac:dyDescent="0.3">
      <c r="A64" s="287" t="s">
        <v>273</v>
      </c>
      <c r="B64" s="329"/>
      <c r="C64" s="329"/>
      <c r="D64" s="326"/>
      <c r="E64" s="291">
        <v>0</v>
      </c>
      <c r="F64" s="291">
        <v>18283844</v>
      </c>
      <c r="G64" s="291">
        <v>0</v>
      </c>
      <c r="H64" s="291">
        <v>0</v>
      </c>
      <c r="I64" s="292">
        <v>18283844</v>
      </c>
      <c r="J64" s="290">
        <v>0</v>
      </c>
      <c r="K64" s="291">
        <v>1549593</v>
      </c>
      <c r="L64" s="291">
        <v>0</v>
      </c>
      <c r="M64" s="291">
        <v>0</v>
      </c>
      <c r="N64" s="292">
        <v>1549593</v>
      </c>
      <c r="O64" s="291">
        <v>0</v>
      </c>
      <c r="P64" s="291">
        <v>1486615</v>
      </c>
      <c r="Q64" s="291">
        <v>0</v>
      </c>
      <c r="R64" s="291">
        <v>0</v>
      </c>
      <c r="S64" s="292">
        <v>1486615</v>
      </c>
      <c r="T64" s="291">
        <v>0</v>
      </c>
      <c r="U64" s="291">
        <v>1412283</v>
      </c>
      <c r="V64" s="291">
        <v>0</v>
      </c>
      <c r="W64" s="291">
        <v>0</v>
      </c>
      <c r="X64" s="292">
        <v>1412283</v>
      </c>
      <c r="Y64" s="291">
        <v>0</v>
      </c>
      <c r="Z64" s="291">
        <v>1388691</v>
      </c>
      <c r="AA64" s="291">
        <v>0</v>
      </c>
      <c r="AB64" s="291">
        <v>0</v>
      </c>
      <c r="AC64" s="292">
        <v>1388691</v>
      </c>
      <c r="AD64" s="69">
        <v>0</v>
      </c>
      <c r="AE64" s="69">
        <v>1443945</v>
      </c>
      <c r="AF64" s="291">
        <v>0</v>
      </c>
      <c r="AG64" s="291">
        <v>0</v>
      </c>
      <c r="AH64" s="292">
        <v>1443945</v>
      </c>
      <c r="AI64" s="291">
        <v>0</v>
      </c>
      <c r="AJ64" s="291">
        <v>1524417</v>
      </c>
      <c r="AK64" s="291">
        <v>0</v>
      </c>
      <c r="AL64" s="291">
        <v>0</v>
      </c>
      <c r="AM64" s="292">
        <v>1524417</v>
      </c>
      <c r="AN64" s="291">
        <v>0</v>
      </c>
      <c r="AO64" s="291">
        <v>1497621</v>
      </c>
      <c r="AP64" s="291">
        <v>0</v>
      </c>
      <c r="AQ64" s="291">
        <v>0</v>
      </c>
      <c r="AR64" s="292">
        <v>1497621</v>
      </c>
      <c r="AS64" s="291">
        <v>0</v>
      </c>
      <c r="AT64" s="291">
        <v>1535042</v>
      </c>
      <c r="AU64" s="291">
        <v>0</v>
      </c>
      <c r="AV64" s="291">
        <v>0</v>
      </c>
      <c r="AW64" s="292">
        <v>1535042</v>
      </c>
      <c r="AX64" s="291">
        <v>0</v>
      </c>
      <c r="AY64" s="291">
        <v>1484863</v>
      </c>
      <c r="AZ64" s="291">
        <v>0</v>
      </c>
      <c r="BA64" s="291">
        <v>0</v>
      </c>
      <c r="BB64" s="292">
        <v>1484863</v>
      </c>
      <c r="BC64" s="291">
        <v>0</v>
      </c>
      <c r="BD64" s="291">
        <v>1682694</v>
      </c>
      <c r="BE64" s="291">
        <v>0</v>
      </c>
      <c r="BF64" s="291">
        <v>0</v>
      </c>
      <c r="BG64" s="292">
        <v>1682694</v>
      </c>
      <c r="BH64" s="291">
        <v>0</v>
      </c>
      <c r="BI64" s="291">
        <v>1703401</v>
      </c>
      <c r="BJ64" s="291">
        <v>0</v>
      </c>
      <c r="BK64" s="291">
        <v>0</v>
      </c>
      <c r="BL64" s="292">
        <v>1703401</v>
      </c>
      <c r="BM64" s="291">
        <v>0</v>
      </c>
      <c r="BN64" s="291">
        <v>1574679</v>
      </c>
      <c r="BO64" s="291">
        <v>0</v>
      </c>
      <c r="BP64" s="291">
        <v>0</v>
      </c>
      <c r="BQ64" s="292">
        <v>1574679</v>
      </c>
      <c r="BR64" s="291">
        <v>0</v>
      </c>
      <c r="BS64" s="291">
        <v>18283844</v>
      </c>
      <c r="BT64" s="291">
        <v>0</v>
      </c>
      <c r="BU64" s="291">
        <v>0</v>
      </c>
      <c r="BV64" s="292">
        <v>18283844</v>
      </c>
      <c r="BW64" s="299"/>
      <c r="BX64" s="296">
        <v>100</v>
      </c>
      <c r="BZ64" s="262">
        <v>0</v>
      </c>
      <c r="CA64" s="262">
        <v>0</v>
      </c>
      <c r="CB64" s="262">
        <v>0</v>
      </c>
      <c r="CC64" s="262">
        <v>0</v>
      </c>
    </row>
    <row r="65" spans="1:81" x14ac:dyDescent="0.3">
      <c r="A65" s="287" t="s">
        <v>274</v>
      </c>
      <c r="B65" s="329"/>
      <c r="D65" s="326"/>
      <c r="E65" s="291">
        <v>2076720</v>
      </c>
      <c r="F65" s="291">
        <v>23446</v>
      </c>
      <c r="G65" s="291">
        <v>0</v>
      </c>
      <c r="H65" s="291">
        <v>0</v>
      </c>
      <c r="I65" s="292">
        <v>2100166</v>
      </c>
      <c r="J65" s="290">
        <v>169724</v>
      </c>
      <c r="K65" s="291">
        <v>936</v>
      </c>
      <c r="L65" s="291">
        <v>0</v>
      </c>
      <c r="M65" s="291">
        <v>0</v>
      </c>
      <c r="N65" s="292">
        <v>170660</v>
      </c>
      <c r="O65" s="291">
        <v>170631</v>
      </c>
      <c r="P65" s="291">
        <v>1218</v>
      </c>
      <c r="Q65" s="291">
        <v>0</v>
      </c>
      <c r="R65" s="291">
        <v>0</v>
      </c>
      <c r="S65" s="292">
        <v>171849</v>
      </c>
      <c r="T65" s="291">
        <v>168573</v>
      </c>
      <c r="U65" s="291">
        <v>369</v>
      </c>
      <c r="V65" s="291">
        <v>0</v>
      </c>
      <c r="W65" s="291">
        <v>0</v>
      </c>
      <c r="X65" s="292">
        <v>168942</v>
      </c>
      <c r="Y65" s="291">
        <v>168429</v>
      </c>
      <c r="Z65" s="291">
        <v>4165</v>
      </c>
      <c r="AA65" s="291">
        <v>0</v>
      </c>
      <c r="AB65" s="291">
        <v>0</v>
      </c>
      <c r="AC65" s="292">
        <v>172594</v>
      </c>
      <c r="AD65" s="69">
        <v>167158</v>
      </c>
      <c r="AE65" s="69">
        <v>2578</v>
      </c>
      <c r="AF65" s="291">
        <v>0</v>
      </c>
      <c r="AG65" s="291">
        <v>0</v>
      </c>
      <c r="AH65" s="292">
        <v>169736</v>
      </c>
      <c r="AI65" s="291">
        <v>167552</v>
      </c>
      <c r="AJ65" s="291">
        <v>4228</v>
      </c>
      <c r="AK65" s="291">
        <v>0</v>
      </c>
      <c r="AL65" s="291">
        <v>0</v>
      </c>
      <c r="AM65" s="292">
        <v>171780</v>
      </c>
      <c r="AN65" s="291">
        <v>166146</v>
      </c>
      <c r="AO65" s="291">
        <v>2534</v>
      </c>
      <c r="AP65" s="291">
        <v>0</v>
      </c>
      <c r="AQ65" s="291">
        <v>0</v>
      </c>
      <c r="AR65" s="292">
        <v>168680</v>
      </c>
      <c r="AS65" s="291">
        <v>166179</v>
      </c>
      <c r="AT65" s="291">
        <v>807</v>
      </c>
      <c r="AU65" s="291">
        <v>0</v>
      </c>
      <c r="AV65" s="291">
        <v>0</v>
      </c>
      <c r="AW65" s="292">
        <v>166986</v>
      </c>
      <c r="AX65" s="291">
        <v>164386</v>
      </c>
      <c r="AY65" s="291">
        <v>2475</v>
      </c>
      <c r="AZ65" s="291">
        <v>0</v>
      </c>
      <c r="BA65" s="291">
        <v>0</v>
      </c>
      <c r="BB65" s="292">
        <v>166861</v>
      </c>
      <c r="BC65" s="291">
        <v>163747</v>
      </c>
      <c r="BD65" s="291">
        <v>1602</v>
      </c>
      <c r="BE65" s="291">
        <v>0</v>
      </c>
      <c r="BF65" s="291">
        <v>0</v>
      </c>
      <c r="BG65" s="292">
        <v>165349</v>
      </c>
      <c r="BH65" s="291">
        <v>169900</v>
      </c>
      <c r="BI65" s="291">
        <v>690</v>
      </c>
      <c r="BJ65" s="291">
        <v>0</v>
      </c>
      <c r="BK65" s="291">
        <v>0</v>
      </c>
      <c r="BL65" s="292">
        <v>170590</v>
      </c>
      <c r="BM65" s="291">
        <v>234295</v>
      </c>
      <c r="BN65" s="291">
        <v>1844</v>
      </c>
      <c r="BO65" s="291">
        <v>0</v>
      </c>
      <c r="BP65" s="291">
        <v>0</v>
      </c>
      <c r="BQ65" s="292">
        <v>236139</v>
      </c>
      <c r="BR65" s="291">
        <v>2076720</v>
      </c>
      <c r="BS65" s="291">
        <v>23446</v>
      </c>
      <c r="BT65" s="291">
        <v>0</v>
      </c>
      <c r="BU65" s="291">
        <v>0</v>
      </c>
      <c r="BV65" s="292">
        <v>2100166</v>
      </c>
      <c r="BW65" s="299"/>
      <c r="BX65" s="296">
        <v>100</v>
      </c>
      <c r="BZ65" s="262">
        <v>0</v>
      </c>
      <c r="CA65" s="262">
        <v>0</v>
      </c>
      <c r="CB65" s="262">
        <v>0</v>
      </c>
      <c r="CC65" s="262">
        <v>0</v>
      </c>
    </row>
    <row r="66" spans="1:81" x14ac:dyDescent="0.3">
      <c r="A66" s="302" t="s">
        <v>275</v>
      </c>
      <c r="B66" s="340"/>
      <c r="D66" s="326"/>
      <c r="E66" s="291">
        <v>979987</v>
      </c>
      <c r="F66" s="291">
        <v>71738</v>
      </c>
      <c r="G66" s="291">
        <v>0</v>
      </c>
      <c r="H66" s="291">
        <v>0</v>
      </c>
      <c r="I66" s="292">
        <v>1051725</v>
      </c>
      <c r="J66" s="290">
        <v>77886</v>
      </c>
      <c r="K66" s="291">
        <v>1909</v>
      </c>
      <c r="L66" s="291">
        <v>0</v>
      </c>
      <c r="M66" s="291">
        <v>0</v>
      </c>
      <c r="N66" s="292">
        <v>79795</v>
      </c>
      <c r="O66" s="291">
        <v>83988</v>
      </c>
      <c r="P66" s="291">
        <v>281</v>
      </c>
      <c r="Q66" s="291">
        <v>0</v>
      </c>
      <c r="R66" s="291">
        <v>0</v>
      </c>
      <c r="S66" s="292">
        <v>84269</v>
      </c>
      <c r="T66" s="291">
        <v>81016</v>
      </c>
      <c r="U66" s="291">
        <v>8494</v>
      </c>
      <c r="V66" s="291">
        <v>0</v>
      </c>
      <c r="W66" s="291">
        <v>0</v>
      </c>
      <c r="X66" s="292">
        <v>89510</v>
      </c>
      <c r="Y66" s="291">
        <v>75207</v>
      </c>
      <c r="Z66" s="291">
        <v>11172</v>
      </c>
      <c r="AA66" s="291">
        <v>0</v>
      </c>
      <c r="AB66" s="291">
        <v>0</v>
      </c>
      <c r="AC66" s="292">
        <v>86379</v>
      </c>
      <c r="AD66" s="69">
        <v>83773</v>
      </c>
      <c r="AE66" s="69">
        <v>6792</v>
      </c>
      <c r="AF66" s="291">
        <v>0</v>
      </c>
      <c r="AG66" s="291">
        <v>0</v>
      </c>
      <c r="AH66" s="292">
        <v>90565</v>
      </c>
      <c r="AI66" s="291">
        <v>84167</v>
      </c>
      <c r="AJ66" s="291">
        <v>13658</v>
      </c>
      <c r="AK66" s="291">
        <v>0</v>
      </c>
      <c r="AL66" s="291">
        <v>0</v>
      </c>
      <c r="AM66" s="292">
        <v>97825</v>
      </c>
      <c r="AN66" s="291">
        <v>79328</v>
      </c>
      <c r="AO66" s="291">
        <v>3471</v>
      </c>
      <c r="AP66" s="291">
        <v>0</v>
      </c>
      <c r="AQ66" s="291">
        <v>0</v>
      </c>
      <c r="AR66" s="292">
        <v>82799</v>
      </c>
      <c r="AS66" s="291">
        <v>81677</v>
      </c>
      <c r="AT66" s="291">
        <v>5974</v>
      </c>
      <c r="AU66" s="291">
        <v>0</v>
      </c>
      <c r="AV66" s="291">
        <v>0</v>
      </c>
      <c r="AW66" s="292">
        <v>87651</v>
      </c>
      <c r="AX66" s="291">
        <v>79584</v>
      </c>
      <c r="AY66" s="291">
        <v>7820</v>
      </c>
      <c r="AZ66" s="291">
        <v>0</v>
      </c>
      <c r="BA66" s="291">
        <v>0</v>
      </c>
      <c r="BB66" s="292">
        <v>87404</v>
      </c>
      <c r="BC66" s="291">
        <v>79453</v>
      </c>
      <c r="BD66" s="291">
        <v>-2393</v>
      </c>
      <c r="BE66" s="291">
        <v>0</v>
      </c>
      <c r="BF66" s="291">
        <v>0</v>
      </c>
      <c r="BG66" s="292">
        <v>77060</v>
      </c>
      <c r="BH66" s="291">
        <v>82532</v>
      </c>
      <c r="BI66" s="291">
        <v>8554</v>
      </c>
      <c r="BJ66" s="291">
        <v>0</v>
      </c>
      <c r="BK66" s="291">
        <v>0</v>
      </c>
      <c r="BL66" s="292">
        <v>91086</v>
      </c>
      <c r="BM66" s="291">
        <v>91376</v>
      </c>
      <c r="BN66" s="291">
        <v>6006</v>
      </c>
      <c r="BO66" s="291">
        <v>0</v>
      </c>
      <c r="BP66" s="291">
        <v>0</v>
      </c>
      <c r="BQ66" s="292">
        <v>97382</v>
      </c>
      <c r="BR66" s="291">
        <v>979987</v>
      </c>
      <c r="BS66" s="291">
        <v>71738</v>
      </c>
      <c r="BT66" s="291">
        <v>0</v>
      </c>
      <c r="BU66" s="291">
        <v>0</v>
      </c>
      <c r="BV66" s="292">
        <v>1051725</v>
      </c>
      <c r="BW66" s="299"/>
      <c r="BX66" s="296">
        <v>100</v>
      </c>
      <c r="BZ66" s="262">
        <v>0</v>
      </c>
      <c r="CA66" s="262">
        <v>0</v>
      </c>
      <c r="CB66" s="262">
        <v>0</v>
      </c>
      <c r="CC66" s="262">
        <v>0</v>
      </c>
    </row>
    <row r="67" spans="1:81" x14ac:dyDescent="0.3">
      <c r="A67" s="341" t="s">
        <v>276</v>
      </c>
      <c r="B67" s="342"/>
      <c r="C67" s="313"/>
      <c r="D67" s="314"/>
      <c r="E67" s="291">
        <v>0</v>
      </c>
      <c r="F67" s="291">
        <v>2614</v>
      </c>
      <c r="G67" s="291">
        <v>0</v>
      </c>
      <c r="H67" s="291">
        <v>0</v>
      </c>
      <c r="I67" s="292">
        <v>2614</v>
      </c>
      <c r="J67" s="290">
        <v>0</v>
      </c>
      <c r="K67" s="291">
        <v>0</v>
      </c>
      <c r="L67" s="291">
        <v>0</v>
      </c>
      <c r="M67" s="291">
        <v>0</v>
      </c>
      <c r="N67" s="292">
        <v>0</v>
      </c>
      <c r="O67" s="291">
        <v>0</v>
      </c>
      <c r="P67" s="291">
        <v>0</v>
      </c>
      <c r="Q67" s="291">
        <v>0</v>
      </c>
      <c r="R67" s="291">
        <v>0</v>
      </c>
      <c r="S67" s="292">
        <v>0</v>
      </c>
      <c r="T67" s="291">
        <v>0</v>
      </c>
      <c r="U67" s="291">
        <v>0</v>
      </c>
      <c r="V67" s="291">
        <v>0</v>
      </c>
      <c r="W67" s="291">
        <v>0</v>
      </c>
      <c r="X67" s="292">
        <v>0</v>
      </c>
      <c r="Y67" s="291">
        <v>0</v>
      </c>
      <c r="Z67" s="291">
        <v>0</v>
      </c>
      <c r="AA67" s="291">
        <v>0</v>
      </c>
      <c r="AB67" s="291">
        <v>0</v>
      </c>
      <c r="AC67" s="292">
        <v>0</v>
      </c>
      <c r="AD67" s="291">
        <v>0</v>
      </c>
      <c r="AE67" s="291">
        <v>0</v>
      </c>
      <c r="AF67" s="291">
        <v>0</v>
      </c>
      <c r="AG67" s="291">
        <v>0</v>
      </c>
      <c r="AH67" s="292">
        <v>0</v>
      </c>
      <c r="AI67" s="291">
        <v>0</v>
      </c>
      <c r="AJ67" s="291">
        <v>0</v>
      </c>
      <c r="AK67" s="291">
        <v>0</v>
      </c>
      <c r="AL67" s="291">
        <v>0</v>
      </c>
      <c r="AM67" s="292">
        <v>0</v>
      </c>
      <c r="AN67" s="291">
        <v>0</v>
      </c>
      <c r="AO67" s="291">
        <v>0</v>
      </c>
      <c r="AP67" s="291">
        <v>0</v>
      </c>
      <c r="AQ67" s="291">
        <v>0</v>
      </c>
      <c r="AR67" s="292">
        <v>0</v>
      </c>
      <c r="AS67" s="291">
        <v>0</v>
      </c>
      <c r="AT67" s="291">
        <v>0</v>
      </c>
      <c r="AU67" s="291">
        <v>0</v>
      </c>
      <c r="AV67" s="291">
        <v>0</v>
      </c>
      <c r="AW67" s="292">
        <v>0</v>
      </c>
      <c r="AX67" s="291">
        <v>0</v>
      </c>
      <c r="AY67" s="291">
        <v>0</v>
      </c>
      <c r="AZ67" s="291">
        <v>0</v>
      </c>
      <c r="BA67" s="291">
        <v>0</v>
      </c>
      <c r="BB67" s="292">
        <v>0</v>
      </c>
      <c r="BC67" s="291">
        <v>0</v>
      </c>
      <c r="BD67" s="291">
        <v>0</v>
      </c>
      <c r="BE67" s="291">
        <v>0</v>
      </c>
      <c r="BF67" s="291">
        <v>0</v>
      </c>
      <c r="BG67" s="292">
        <v>0</v>
      </c>
      <c r="BH67" s="291">
        <v>0</v>
      </c>
      <c r="BI67" s="291">
        <v>2614</v>
      </c>
      <c r="BJ67" s="291">
        <v>0</v>
      </c>
      <c r="BK67" s="291">
        <v>0</v>
      </c>
      <c r="BL67" s="292">
        <v>2614</v>
      </c>
      <c r="BM67" s="291">
        <v>0</v>
      </c>
      <c r="BN67" s="291">
        <v>0</v>
      </c>
      <c r="BO67" s="291">
        <v>0</v>
      </c>
      <c r="BP67" s="291">
        <v>0</v>
      </c>
      <c r="BQ67" s="292">
        <v>0</v>
      </c>
      <c r="BR67" s="291">
        <v>0</v>
      </c>
      <c r="BS67" s="291">
        <v>2614</v>
      </c>
      <c r="BT67" s="291">
        <v>0</v>
      </c>
      <c r="BU67" s="291">
        <v>0</v>
      </c>
      <c r="BV67" s="292">
        <v>2614</v>
      </c>
      <c r="BW67" s="299"/>
      <c r="BX67" s="296">
        <v>100</v>
      </c>
    </row>
    <row r="68" spans="1:81" x14ac:dyDescent="0.3">
      <c r="A68" s="284" t="s">
        <v>277</v>
      </c>
      <c r="B68" s="288"/>
      <c r="D68" s="326"/>
      <c r="E68" s="317">
        <v>208432282.69999999</v>
      </c>
      <c r="F68" s="318">
        <v>537102188</v>
      </c>
      <c r="G68" s="318">
        <v>0</v>
      </c>
      <c r="H68" s="318">
        <v>468468</v>
      </c>
      <c r="I68" s="319">
        <v>746002938.70000005</v>
      </c>
      <c r="J68" s="317">
        <v>3879932</v>
      </c>
      <c r="K68" s="318">
        <v>43681922</v>
      </c>
      <c r="L68" s="318">
        <v>0</v>
      </c>
      <c r="M68" s="318">
        <v>13631872</v>
      </c>
      <c r="N68" s="319">
        <v>61193726</v>
      </c>
      <c r="O68" s="318">
        <v>4573313</v>
      </c>
      <c r="P68" s="318">
        <v>43617596</v>
      </c>
      <c r="Q68" s="318">
        <v>0</v>
      </c>
      <c r="R68" s="318">
        <v>83878</v>
      </c>
      <c r="S68" s="319">
        <v>48274787</v>
      </c>
      <c r="T68" s="317">
        <v>20526581</v>
      </c>
      <c r="U68" s="318">
        <v>43550628</v>
      </c>
      <c r="V68" s="318">
        <v>0</v>
      </c>
      <c r="W68" s="318">
        <v>23306</v>
      </c>
      <c r="X68" s="319">
        <v>64100515</v>
      </c>
      <c r="Y68" s="317">
        <v>27648509</v>
      </c>
      <c r="Z68" s="318">
        <v>43533510</v>
      </c>
      <c r="AA68" s="318">
        <v>0</v>
      </c>
      <c r="AB68" s="318">
        <v>119906</v>
      </c>
      <c r="AC68" s="319">
        <v>71301925</v>
      </c>
      <c r="AD68" s="317">
        <v>27979426</v>
      </c>
      <c r="AE68" s="318">
        <v>47971723</v>
      </c>
      <c r="AF68" s="318">
        <v>0</v>
      </c>
      <c r="AG68" s="318">
        <v>3800230</v>
      </c>
      <c r="AH68" s="319">
        <v>79751379</v>
      </c>
      <c r="AI68" s="317">
        <v>16793673</v>
      </c>
      <c r="AJ68" s="318">
        <v>43671783</v>
      </c>
      <c r="AK68" s="318">
        <v>0</v>
      </c>
      <c r="AL68" s="318">
        <v>-9699979</v>
      </c>
      <c r="AM68" s="319">
        <v>50765477</v>
      </c>
      <c r="AN68" s="317">
        <v>4808296</v>
      </c>
      <c r="AO68" s="318">
        <v>43633105</v>
      </c>
      <c r="AP68" s="318">
        <v>0</v>
      </c>
      <c r="AQ68" s="318">
        <v>2100030</v>
      </c>
      <c r="AR68" s="319">
        <v>50541431</v>
      </c>
      <c r="AS68" s="317">
        <v>2607166</v>
      </c>
      <c r="AT68" s="318">
        <v>43671302</v>
      </c>
      <c r="AU68" s="318">
        <v>0</v>
      </c>
      <c r="AV68" s="318">
        <v>1363</v>
      </c>
      <c r="AW68" s="319">
        <v>46279831</v>
      </c>
      <c r="AX68" s="317">
        <v>21433413</v>
      </c>
      <c r="AY68" s="318">
        <v>48013567</v>
      </c>
      <c r="AZ68" s="318">
        <v>0</v>
      </c>
      <c r="BA68" s="318">
        <v>107525</v>
      </c>
      <c r="BB68" s="319">
        <v>69554505</v>
      </c>
      <c r="BC68" s="317">
        <v>29056094</v>
      </c>
      <c r="BD68" s="318">
        <v>43811380</v>
      </c>
      <c r="BE68" s="318">
        <v>0</v>
      </c>
      <c r="BF68" s="318">
        <v>-9699702</v>
      </c>
      <c r="BG68" s="319">
        <v>63167772</v>
      </c>
      <c r="BH68" s="317">
        <v>29699605</v>
      </c>
      <c r="BI68" s="318">
        <v>43844734</v>
      </c>
      <c r="BJ68" s="318">
        <v>0</v>
      </c>
      <c r="BK68" s="318">
        <v>0</v>
      </c>
      <c r="BL68" s="319">
        <v>73544339</v>
      </c>
      <c r="BM68" s="317">
        <v>19426274.700000007</v>
      </c>
      <c r="BN68" s="318">
        <v>48100938</v>
      </c>
      <c r="BO68" s="318">
        <v>0</v>
      </c>
      <c r="BP68" s="318">
        <v>39</v>
      </c>
      <c r="BQ68" s="319">
        <v>67527251.700000003</v>
      </c>
      <c r="BR68" s="317">
        <v>208432282.69999999</v>
      </c>
      <c r="BS68" s="318">
        <v>537102188</v>
      </c>
      <c r="BT68" s="318">
        <v>0</v>
      </c>
      <c r="BU68" s="318">
        <v>468468</v>
      </c>
      <c r="BV68" s="375">
        <v>746002938.70000005</v>
      </c>
      <c r="BW68" s="348"/>
      <c r="BX68" s="296">
        <v>100</v>
      </c>
    </row>
    <row r="69" spans="1:81" ht="12.75" hidden="1" x14ac:dyDescent="0.2">
      <c r="A69" s="321" t="s">
        <v>310</v>
      </c>
      <c r="B69" s="288"/>
      <c r="D69" s="326"/>
      <c r="E69" s="294">
        <v>0</v>
      </c>
      <c r="F69" s="294">
        <v>0</v>
      </c>
      <c r="G69" s="294">
        <v>0</v>
      </c>
      <c r="H69" s="294">
        <v>0</v>
      </c>
      <c r="I69" s="292"/>
      <c r="J69" s="293">
        <v>0</v>
      </c>
      <c r="K69" s="294">
        <v>0</v>
      </c>
      <c r="L69" s="294">
        <v>0</v>
      </c>
      <c r="M69" s="294">
        <v>0</v>
      </c>
      <c r="N69" s="292">
        <v>0</v>
      </c>
      <c r="O69" s="294">
        <v>0</v>
      </c>
      <c r="P69" s="294">
        <v>0</v>
      </c>
      <c r="Q69" s="294">
        <v>0</v>
      </c>
      <c r="R69" s="294">
        <v>0</v>
      </c>
      <c r="S69" s="292">
        <v>0</v>
      </c>
      <c r="T69" s="294">
        <v>0</v>
      </c>
      <c r="U69" s="294">
        <v>0</v>
      </c>
      <c r="V69" s="294">
        <v>0</v>
      </c>
      <c r="W69" s="294">
        <v>0</v>
      </c>
      <c r="X69" s="292">
        <v>0</v>
      </c>
      <c r="Y69" s="294">
        <v>0</v>
      </c>
      <c r="Z69" s="294">
        <v>0</v>
      </c>
      <c r="AA69" s="294">
        <v>0</v>
      </c>
      <c r="AB69" s="294">
        <v>0</v>
      </c>
      <c r="AC69" s="292">
        <v>0</v>
      </c>
      <c r="AD69" s="294">
        <v>0</v>
      </c>
      <c r="AE69" s="294">
        <v>0</v>
      </c>
      <c r="AF69" s="294">
        <v>0</v>
      </c>
      <c r="AG69" s="294">
        <v>0</v>
      </c>
      <c r="AH69" s="292">
        <v>0</v>
      </c>
      <c r="AI69" s="294">
        <v>0</v>
      </c>
      <c r="AJ69" s="294">
        <v>0</v>
      </c>
      <c r="AK69" s="294">
        <v>0</v>
      </c>
      <c r="AL69" s="294">
        <v>0</v>
      </c>
      <c r="AM69" s="292">
        <v>0</v>
      </c>
      <c r="AN69" s="294">
        <v>0</v>
      </c>
      <c r="AO69" s="294">
        <v>0</v>
      </c>
      <c r="AP69" s="294">
        <v>0</v>
      </c>
      <c r="AQ69" s="294">
        <v>0</v>
      </c>
      <c r="AR69" s="292">
        <v>0</v>
      </c>
      <c r="AS69" s="294">
        <v>0</v>
      </c>
      <c r="AT69" s="294">
        <v>0</v>
      </c>
      <c r="AU69" s="294">
        <v>0</v>
      </c>
      <c r="AV69" s="294">
        <v>0</v>
      </c>
      <c r="AW69" s="292">
        <v>0</v>
      </c>
      <c r="AX69" s="294">
        <v>0</v>
      </c>
      <c r="AY69" s="294">
        <v>0</v>
      </c>
      <c r="AZ69" s="294">
        <v>0</v>
      </c>
      <c r="BA69" s="294">
        <v>0</v>
      </c>
      <c r="BB69" s="292">
        <v>0</v>
      </c>
      <c r="BC69" s="294">
        <v>0</v>
      </c>
      <c r="BD69" s="294">
        <v>0</v>
      </c>
      <c r="BE69" s="294">
        <v>0</v>
      </c>
      <c r="BF69" s="294">
        <v>0</v>
      </c>
      <c r="BG69" s="292">
        <v>0</v>
      </c>
      <c r="BH69" s="294">
        <v>0</v>
      </c>
      <c r="BI69" s="294">
        <v>0</v>
      </c>
      <c r="BJ69" s="294">
        <v>0</v>
      </c>
      <c r="BK69" s="294">
        <v>0</v>
      </c>
      <c r="BL69" s="292">
        <v>0</v>
      </c>
      <c r="BM69" s="294">
        <v>0</v>
      </c>
      <c r="BN69" s="294">
        <v>0</v>
      </c>
      <c r="BO69" s="294">
        <v>0</v>
      </c>
      <c r="BP69" s="294">
        <v>0</v>
      </c>
      <c r="BQ69" s="292">
        <v>0</v>
      </c>
      <c r="BR69" s="294">
        <v>0</v>
      </c>
      <c r="BS69" s="294">
        <v>0</v>
      </c>
      <c r="BT69" s="294">
        <v>0</v>
      </c>
      <c r="BU69" s="294">
        <v>0</v>
      </c>
      <c r="BV69" s="360">
        <v>0</v>
      </c>
      <c r="BW69" s="245"/>
      <c r="BX69" s="296" t="e">
        <v>#DIV/0!</v>
      </c>
    </row>
    <row r="70" spans="1:81" ht="12.75" hidden="1" x14ac:dyDescent="0.2">
      <c r="A70" s="321" t="s">
        <v>311</v>
      </c>
      <c r="B70" s="288"/>
      <c r="D70" s="326"/>
      <c r="E70" s="294">
        <v>0</v>
      </c>
      <c r="F70" s="294">
        <v>0</v>
      </c>
      <c r="G70" s="294">
        <v>0</v>
      </c>
      <c r="H70" s="294">
        <v>0</v>
      </c>
      <c r="I70" s="292"/>
      <c r="J70" s="293">
        <v>0</v>
      </c>
      <c r="K70" s="294">
        <v>0</v>
      </c>
      <c r="L70" s="294">
        <v>0</v>
      </c>
      <c r="M70" s="294">
        <v>0</v>
      </c>
      <c r="N70" s="292">
        <v>0</v>
      </c>
      <c r="O70" s="294">
        <v>0</v>
      </c>
      <c r="P70" s="294">
        <v>0</v>
      </c>
      <c r="Q70" s="294">
        <v>0</v>
      </c>
      <c r="R70" s="294">
        <v>0</v>
      </c>
      <c r="S70" s="292">
        <v>0</v>
      </c>
      <c r="T70" s="294">
        <v>0</v>
      </c>
      <c r="U70" s="294">
        <v>0</v>
      </c>
      <c r="V70" s="294">
        <v>0</v>
      </c>
      <c r="W70" s="294">
        <v>0</v>
      </c>
      <c r="X70" s="292">
        <v>0</v>
      </c>
      <c r="Y70" s="294">
        <v>0</v>
      </c>
      <c r="Z70" s="294">
        <v>0</v>
      </c>
      <c r="AA70" s="294">
        <v>0</v>
      </c>
      <c r="AB70" s="294">
        <v>0</v>
      </c>
      <c r="AC70" s="292">
        <v>0</v>
      </c>
      <c r="AD70" s="294">
        <v>0</v>
      </c>
      <c r="AE70" s="294">
        <v>0</v>
      </c>
      <c r="AF70" s="294">
        <v>0</v>
      </c>
      <c r="AG70" s="294">
        <v>0</v>
      </c>
      <c r="AH70" s="292">
        <v>0</v>
      </c>
      <c r="AI70" s="294">
        <v>0</v>
      </c>
      <c r="AJ70" s="294">
        <v>0</v>
      </c>
      <c r="AK70" s="294">
        <v>0</v>
      </c>
      <c r="AL70" s="294">
        <v>0</v>
      </c>
      <c r="AM70" s="292">
        <v>0</v>
      </c>
      <c r="AN70" s="294">
        <v>0</v>
      </c>
      <c r="AO70" s="294">
        <v>0</v>
      </c>
      <c r="AP70" s="294">
        <v>0</v>
      </c>
      <c r="AQ70" s="294">
        <v>0</v>
      </c>
      <c r="AR70" s="292">
        <v>0</v>
      </c>
      <c r="AS70" s="294">
        <v>0</v>
      </c>
      <c r="AT70" s="294">
        <v>0</v>
      </c>
      <c r="AU70" s="294">
        <v>0</v>
      </c>
      <c r="AV70" s="294">
        <v>0</v>
      </c>
      <c r="AW70" s="292">
        <v>0</v>
      </c>
      <c r="AX70" s="294"/>
      <c r="AY70" s="294"/>
      <c r="AZ70" s="294"/>
      <c r="BA70" s="294"/>
      <c r="BB70" s="292"/>
      <c r="BC70" s="294"/>
      <c r="BD70" s="294"/>
      <c r="BE70" s="294"/>
      <c r="BF70" s="294"/>
      <c r="BG70" s="292"/>
      <c r="BH70" s="294"/>
      <c r="BI70" s="294"/>
      <c r="BJ70" s="294"/>
      <c r="BK70" s="294"/>
      <c r="BL70" s="292"/>
      <c r="BM70" s="294"/>
      <c r="BN70" s="294"/>
      <c r="BO70" s="294"/>
      <c r="BP70" s="294"/>
      <c r="BQ70" s="292"/>
      <c r="BR70" s="294">
        <v>0</v>
      </c>
      <c r="BS70" s="294">
        <v>0</v>
      </c>
      <c r="BT70" s="294">
        <v>0</v>
      </c>
      <c r="BU70" s="294">
        <v>0</v>
      </c>
      <c r="BV70" s="360">
        <v>0</v>
      </c>
      <c r="BW70" s="245"/>
      <c r="BX70" s="296" t="e">
        <v>#DIV/0!</v>
      </c>
    </row>
    <row r="71" spans="1:81" ht="12.75" hidden="1" x14ac:dyDescent="0.2">
      <c r="A71" s="321" t="s">
        <v>312</v>
      </c>
      <c r="B71" s="288"/>
      <c r="D71" s="326"/>
      <c r="E71" s="294">
        <v>0</v>
      </c>
      <c r="F71" s="294">
        <v>0</v>
      </c>
      <c r="G71" s="294">
        <v>0</v>
      </c>
      <c r="H71" s="294">
        <v>0</v>
      </c>
      <c r="I71" s="292"/>
      <c r="J71" s="293">
        <v>0</v>
      </c>
      <c r="K71" s="294">
        <v>0</v>
      </c>
      <c r="L71" s="294">
        <v>0</v>
      </c>
      <c r="M71" s="294">
        <v>0</v>
      </c>
      <c r="N71" s="292">
        <v>0</v>
      </c>
      <c r="O71" s="294">
        <v>0</v>
      </c>
      <c r="P71" s="294">
        <v>0</v>
      </c>
      <c r="Q71" s="294">
        <v>0</v>
      </c>
      <c r="R71" s="294">
        <v>0</v>
      </c>
      <c r="S71" s="292">
        <v>0</v>
      </c>
      <c r="T71" s="294">
        <v>0</v>
      </c>
      <c r="U71" s="294">
        <v>0</v>
      </c>
      <c r="V71" s="294">
        <v>0</v>
      </c>
      <c r="W71" s="294">
        <v>0</v>
      </c>
      <c r="X71" s="292">
        <v>0</v>
      </c>
      <c r="Y71" s="294">
        <v>0</v>
      </c>
      <c r="Z71" s="294">
        <v>0</v>
      </c>
      <c r="AA71" s="294">
        <v>0</v>
      </c>
      <c r="AB71" s="294">
        <v>0</v>
      </c>
      <c r="AC71" s="292">
        <v>0</v>
      </c>
      <c r="AD71" s="294">
        <v>0</v>
      </c>
      <c r="AE71" s="294">
        <v>0</v>
      </c>
      <c r="AF71" s="294">
        <v>0</v>
      </c>
      <c r="AG71" s="294">
        <v>0</v>
      </c>
      <c r="AH71" s="292">
        <v>0</v>
      </c>
      <c r="AI71" s="294">
        <v>0</v>
      </c>
      <c r="AJ71" s="294">
        <v>0</v>
      </c>
      <c r="AK71" s="294">
        <v>0</v>
      </c>
      <c r="AL71" s="294">
        <v>0</v>
      </c>
      <c r="AM71" s="292">
        <v>0</v>
      </c>
      <c r="AN71" s="294">
        <v>0</v>
      </c>
      <c r="AO71" s="294">
        <v>0</v>
      </c>
      <c r="AP71" s="294">
        <v>0</v>
      </c>
      <c r="AQ71" s="294">
        <v>0</v>
      </c>
      <c r="AR71" s="292">
        <v>0</v>
      </c>
      <c r="AS71" s="294">
        <v>0</v>
      </c>
      <c r="AT71" s="294">
        <v>0</v>
      </c>
      <c r="AU71" s="294">
        <v>0</v>
      </c>
      <c r="AV71" s="294">
        <v>0</v>
      </c>
      <c r="AW71" s="292">
        <v>0</v>
      </c>
      <c r="AX71" s="294"/>
      <c r="AY71" s="294"/>
      <c r="AZ71" s="294"/>
      <c r="BA71" s="294"/>
      <c r="BB71" s="292"/>
      <c r="BC71" s="294"/>
      <c r="BD71" s="294"/>
      <c r="BE71" s="294"/>
      <c r="BF71" s="294"/>
      <c r="BG71" s="292"/>
      <c r="BH71" s="294"/>
      <c r="BI71" s="294"/>
      <c r="BJ71" s="294"/>
      <c r="BK71" s="294"/>
      <c r="BL71" s="292"/>
      <c r="BM71" s="294"/>
      <c r="BN71" s="294"/>
      <c r="BO71" s="294"/>
      <c r="BP71" s="294"/>
      <c r="BQ71" s="292"/>
      <c r="BR71" s="294">
        <v>0</v>
      </c>
      <c r="BS71" s="294">
        <v>0</v>
      </c>
      <c r="BT71" s="294">
        <v>0</v>
      </c>
      <c r="BU71" s="294">
        <v>0</v>
      </c>
      <c r="BV71" s="360">
        <v>0</v>
      </c>
      <c r="BW71" s="245"/>
      <c r="BX71" s="296" t="e">
        <v>#DIV/0!</v>
      </c>
    </row>
    <row r="72" spans="1:81" ht="12.75" hidden="1" x14ac:dyDescent="0.2">
      <c r="A72" s="321" t="s">
        <v>313</v>
      </c>
      <c r="B72" s="288"/>
      <c r="D72" s="326"/>
      <c r="E72" s="294">
        <v>0</v>
      </c>
      <c r="F72" s="294">
        <v>0</v>
      </c>
      <c r="G72" s="294">
        <v>0</v>
      </c>
      <c r="H72" s="294">
        <v>0</v>
      </c>
      <c r="I72" s="292"/>
      <c r="J72" s="293">
        <v>0</v>
      </c>
      <c r="K72" s="294">
        <v>0</v>
      </c>
      <c r="L72" s="294">
        <v>0</v>
      </c>
      <c r="M72" s="294">
        <v>0</v>
      </c>
      <c r="N72" s="292">
        <v>0</v>
      </c>
      <c r="O72" s="294">
        <v>0</v>
      </c>
      <c r="P72" s="294">
        <v>0</v>
      </c>
      <c r="Q72" s="294">
        <v>0</v>
      </c>
      <c r="R72" s="294">
        <v>0</v>
      </c>
      <c r="S72" s="292">
        <v>0</v>
      </c>
      <c r="T72" s="294">
        <v>0</v>
      </c>
      <c r="U72" s="294">
        <v>0</v>
      </c>
      <c r="V72" s="294">
        <v>0</v>
      </c>
      <c r="W72" s="294">
        <v>0</v>
      </c>
      <c r="X72" s="292">
        <v>0</v>
      </c>
      <c r="Y72" s="294">
        <v>0</v>
      </c>
      <c r="Z72" s="294">
        <v>0</v>
      </c>
      <c r="AA72" s="294">
        <v>0</v>
      </c>
      <c r="AB72" s="294">
        <v>0</v>
      </c>
      <c r="AC72" s="292">
        <v>0</v>
      </c>
      <c r="AD72" s="294">
        <v>0</v>
      </c>
      <c r="AE72" s="294">
        <v>0</v>
      </c>
      <c r="AF72" s="294">
        <v>0</v>
      </c>
      <c r="AG72" s="294">
        <v>0</v>
      </c>
      <c r="AH72" s="292">
        <v>0</v>
      </c>
      <c r="AI72" s="294">
        <v>0</v>
      </c>
      <c r="AJ72" s="294">
        <v>0</v>
      </c>
      <c r="AK72" s="294">
        <v>0</v>
      </c>
      <c r="AL72" s="294">
        <v>0</v>
      </c>
      <c r="AM72" s="292">
        <v>0</v>
      </c>
      <c r="AN72" s="294">
        <v>0</v>
      </c>
      <c r="AO72" s="294">
        <v>0</v>
      </c>
      <c r="AP72" s="294">
        <v>0</v>
      </c>
      <c r="AQ72" s="294">
        <v>0</v>
      </c>
      <c r="AR72" s="292">
        <v>0</v>
      </c>
      <c r="AS72" s="294">
        <v>0</v>
      </c>
      <c r="AT72" s="294">
        <v>0</v>
      </c>
      <c r="AU72" s="294">
        <v>0</v>
      </c>
      <c r="AV72" s="294">
        <v>0</v>
      </c>
      <c r="AW72" s="292">
        <v>0</v>
      </c>
      <c r="AX72" s="294"/>
      <c r="AY72" s="294"/>
      <c r="AZ72" s="294"/>
      <c r="BA72" s="294"/>
      <c r="BB72" s="292"/>
      <c r="BC72" s="294"/>
      <c r="BD72" s="294"/>
      <c r="BE72" s="294"/>
      <c r="BF72" s="294"/>
      <c r="BG72" s="292"/>
      <c r="BH72" s="294"/>
      <c r="BI72" s="294"/>
      <c r="BJ72" s="294"/>
      <c r="BK72" s="294"/>
      <c r="BL72" s="292"/>
      <c r="BM72" s="294"/>
      <c r="BN72" s="294"/>
      <c r="BO72" s="294"/>
      <c r="BP72" s="294"/>
      <c r="BQ72" s="292"/>
      <c r="BR72" s="294">
        <v>0</v>
      </c>
      <c r="BS72" s="294">
        <v>0</v>
      </c>
      <c r="BT72" s="294">
        <v>0</v>
      </c>
      <c r="BU72" s="294">
        <v>0</v>
      </c>
      <c r="BV72" s="360">
        <v>0</v>
      </c>
      <c r="BW72" s="245"/>
      <c r="BX72" s="296" t="e">
        <v>#DIV/0!</v>
      </c>
    </row>
    <row r="73" spans="1:81" ht="13.5" customHeight="1" x14ac:dyDescent="0.3">
      <c r="A73" s="361" t="s">
        <v>208</v>
      </c>
      <c r="B73" s="363"/>
      <c r="C73" s="363"/>
      <c r="D73" s="376"/>
      <c r="E73" s="377">
        <v>452231135.69999999</v>
      </c>
      <c r="F73" s="378">
        <v>1161710554</v>
      </c>
      <c r="G73" s="378">
        <v>12204523</v>
      </c>
      <c r="H73" s="378">
        <v>64986974</v>
      </c>
      <c r="I73" s="379">
        <v>1691133186.7</v>
      </c>
      <c r="J73" s="377">
        <v>21299829</v>
      </c>
      <c r="K73" s="378">
        <v>102058569</v>
      </c>
      <c r="L73" s="378">
        <v>362073</v>
      </c>
      <c r="M73" s="378">
        <v>13633997</v>
      </c>
      <c r="N73" s="379">
        <v>137354468</v>
      </c>
      <c r="O73" s="378">
        <v>23389993</v>
      </c>
      <c r="P73" s="378">
        <v>90353168</v>
      </c>
      <c r="Q73" s="378">
        <v>582691</v>
      </c>
      <c r="R73" s="378">
        <v>135434</v>
      </c>
      <c r="S73" s="379">
        <v>114461286</v>
      </c>
      <c r="T73" s="377">
        <v>39453704</v>
      </c>
      <c r="U73" s="378">
        <v>83604736</v>
      </c>
      <c r="V73" s="378">
        <v>553754</v>
      </c>
      <c r="W73" s="378">
        <v>23276</v>
      </c>
      <c r="X73" s="379">
        <v>123635470</v>
      </c>
      <c r="Y73" s="377">
        <v>47785459</v>
      </c>
      <c r="Z73" s="378">
        <v>124231215</v>
      </c>
      <c r="AA73" s="378">
        <v>714762</v>
      </c>
      <c r="AB73" s="378">
        <v>122353</v>
      </c>
      <c r="AC73" s="379">
        <v>172853789</v>
      </c>
      <c r="AD73" s="377">
        <v>47186195</v>
      </c>
      <c r="AE73" s="378">
        <v>98938819</v>
      </c>
      <c r="AF73" s="378">
        <v>844913</v>
      </c>
      <c r="AG73" s="378">
        <v>3802346</v>
      </c>
      <c r="AH73" s="379">
        <v>150772273</v>
      </c>
      <c r="AI73" s="377">
        <v>36134750</v>
      </c>
      <c r="AJ73" s="378">
        <v>77572968</v>
      </c>
      <c r="AK73" s="378">
        <v>853464</v>
      </c>
      <c r="AL73" s="378">
        <v>3802194</v>
      </c>
      <c r="AM73" s="379">
        <v>118363376</v>
      </c>
      <c r="AN73" s="377">
        <v>25297181</v>
      </c>
      <c r="AO73" s="378">
        <v>98060723</v>
      </c>
      <c r="AP73" s="378">
        <v>670997</v>
      </c>
      <c r="AQ73" s="378">
        <v>2101544</v>
      </c>
      <c r="AR73" s="379">
        <v>126130445</v>
      </c>
      <c r="AS73" s="377">
        <v>22391188</v>
      </c>
      <c r="AT73" s="378">
        <v>87521398</v>
      </c>
      <c r="AU73" s="378">
        <v>737799</v>
      </c>
      <c r="AV73" s="378">
        <v>11508</v>
      </c>
      <c r="AW73" s="379">
        <v>110661893</v>
      </c>
      <c r="AX73" s="377">
        <v>41128944</v>
      </c>
      <c r="AY73" s="378">
        <v>102434676</v>
      </c>
      <c r="AZ73" s="378">
        <v>1572655</v>
      </c>
      <c r="BA73" s="378">
        <v>17382458</v>
      </c>
      <c r="BB73" s="379">
        <v>162518733</v>
      </c>
      <c r="BC73" s="377">
        <v>48538016</v>
      </c>
      <c r="BD73" s="378">
        <v>89460505</v>
      </c>
      <c r="BE73" s="378">
        <v>896488</v>
      </c>
      <c r="BF73" s="378">
        <v>7924</v>
      </c>
      <c r="BG73" s="379">
        <v>138902933</v>
      </c>
      <c r="BH73" s="377">
        <v>50682519</v>
      </c>
      <c r="BI73" s="378">
        <v>77944225</v>
      </c>
      <c r="BJ73" s="378">
        <v>685432</v>
      </c>
      <c r="BK73" s="378">
        <v>13013794</v>
      </c>
      <c r="BL73" s="379">
        <v>142325970</v>
      </c>
      <c r="BM73" s="377">
        <v>48943357.700000003</v>
      </c>
      <c r="BN73" s="378">
        <v>129529552</v>
      </c>
      <c r="BO73" s="378">
        <v>3729495</v>
      </c>
      <c r="BP73" s="378">
        <v>10950146</v>
      </c>
      <c r="BQ73" s="379">
        <v>193152550.69999999</v>
      </c>
      <c r="BR73" s="377">
        <v>452231135.69999999</v>
      </c>
      <c r="BS73" s="378">
        <v>1161710554</v>
      </c>
      <c r="BT73" s="378">
        <v>12204523</v>
      </c>
      <c r="BU73" s="378">
        <v>64986974</v>
      </c>
      <c r="BV73" s="380">
        <v>1691133186.7</v>
      </c>
      <c r="BW73" s="245"/>
      <c r="BX73" s="296">
        <v>100</v>
      </c>
    </row>
    <row r="74" spans="1:81" ht="13.5" hidden="1" customHeight="1" x14ac:dyDescent="0.2">
      <c r="A74" s="321"/>
      <c r="D74" s="316" t="s">
        <v>156</v>
      </c>
      <c r="E74" s="290">
        <v>0</v>
      </c>
      <c r="F74" s="291">
        <v>0</v>
      </c>
      <c r="G74" s="291">
        <v>0</v>
      </c>
      <c r="H74" s="76">
        <v>0</v>
      </c>
      <c r="I74" s="381">
        <v>0</v>
      </c>
      <c r="J74" s="290">
        <v>0</v>
      </c>
      <c r="K74" s="291">
        <v>0</v>
      </c>
      <c r="L74" s="291">
        <v>0</v>
      </c>
      <c r="M74" s="76">
        <v>0</v>
      </c>
      <c r="N74" s="292">
        <v>0</v>
      </c>
      <c r="O74" s="291">
        <v>0</v>
      </c>
      <c r="P74" s="291">
        <v>0</v>
      </c>
      <c r="Q74" s="291">
        <v>0</v>
      </c>
      <c r="R74" s="76">
        <v>0</v>
      </c>
      <c r="S74" s="381">
        <v>0</v>
      </c>
      <c r="T74" s="290">
        <v>0</v>
      </c>
      <c r="U74" s="291">
        <v>0</v>
      </c>
      <c r="V74" s="291">
        <v>0</v>
      </c>
      <c r="W74" s="76">
        <v>0</v>
      </c>
      <c r="X74" s="381">
        <v>0</v>
      </c>
      <c r="Y74" s="290">
        <v>0</v>
      </c>
      <c r="Z74" s="291">
        <v>0</v>
      </c>
      <c r="AA74" s="291">
        <v>0</v>
      </c>
      <c r="AB74" s="291">
        <v>0</v>
      </c>
      <c r="AC74" s="358">
        <v>0</v>
      </c>
      <c r="AD74" s="290">
        <v>0</v>
      </c>
      <c r="AE74" s="291">
        <v>0</v>
      </c>
      <c r="AF74" s="291">
        <v>0</v>
      </c>
      <c r="AG74" s="76">
        <v>0</v>
      </c>
      <c r="AH74" s="381">
        <v>0</v>
      </c>
      <c r="AI74" s="290">
        <v>0</v>
      </c>
      <c r="AJ74" s="291">
        <v>0</v>
      </c>
      <c r="AK74" s="291">
        <v>0</v>
      </c>
      <c r="AL74" s="76">
        <v>0</v>
      </c>
      <c r="AM74" s="381">
        <v>0</v>
      </c>
      <c r="AN74" s="290">
        <v>0</v>
      </c>
      <c r="AO74" s="291">
        <v>0</v>
      </c>
      <c r="AP74" s="291">
        <v>0</v>
      </c>
      <c r="AQ74" s="76">
        <v>0</v>
      </c>
      <c r="AR74" s="381">
        <v>0</v>
      </c>
      <c r="AS74" s="290">
        <v>0</v>
      </c>
      <c r="AT74" s="291">
        <v>0</v>
      </c>
      <c r="AU74" s="291">
        <v>0</v>
      </c>
      <c r="AV74" s="76">
        <v>0</v>
      </c>
      <c r="AW74" s="381">
        <v>0</v>
      </c>
      <c r="AX74" s="290">
        <v>0</v>
      </c>
      <c r="AY74" s="291">
        <v>0</v>
      </c>
      <c r="AZ74" s="291">
        <v>0</v>
      </c>
      <c r="BA74" s="76">
        <v>0</v>
      </c>
      <c r="BB74" s="381">
        <v>0</v>
      </c>
      <c r="BC74" s="290">
        <v>0</v>
      </c>
      <c r="BD74" s="291">
        <v>0</v>
      </c>
      <c r="BE74" s="291">
        <v>0</v>
      </c>
      <c r="BF74" s="76">
        <v>0</v>
      </c>
      <c r="BG74" s="381">
        <v>0</v>
      </c>
      <c r="BH74" s="290">
        <v>0</v>
      </c>
      <c r="BI74" s="291">
        <v>0</v>
      </c>
      <c r="BJ74" s="291">
        <v>0</v>
      </c>
      <c r="BK74" s="76">
        <v>0</v>
      </c>
      <c r="BL74" s="381">
        <v>0</v>
      </c>
      <c r="BM74" s="290">
        <v>0</v>
      </c>
      <c r="BN74" s="291">
        <v>0</v>
      </c>
      <c r="BO74" s="291">
        <v>0</v>
      </c>
      <c r="BP74" s="76">
        <v>0</v>
      </c>
      <c r="BQ74" s="381">
        <v>0</v>
      </c>
      <c r="BR74" s="290">
        <v>0</v>
      </c>
      <c r="BS74" s="291">
        <v>0</v>
      </c>
      <c r="BT74" s="291">
        <v>0</v>
      </c>
      <c r="BU74" s="76">
        <v>0</v>
      </c>
      <c r="BV74" s="360">
        <v>0</v>
      </c>
      <c r="BW74" s="245"/>
      <c r="BX74" s="296" t="e">
        <v>#DIV/0!</v>
      </c>
    </row>
    <row r="75" spans="1:81" ht="13.5" hidden="1" customHeight="1" x14ac:dyDescent="0.2">
      <c r="A75" s="321" t="s">
        <v>34</v>
      </c>
      <c r="D75" s="326"/>
      <c r="E75" s="291">
        <v>0</v>
      </c>
      <c r="F75" s="291">
        <v>0</v>
      </c>
      <c r="G75" s="291">
        <v>0</v>
      </c>
      <c r="H75" s="291">
        <v>0</v>
      </c>
      <c r="I75" s="292">
        <v>0</v>
      </c>
      <c r="J75" s="290">
        <v>0</v>
      </c>
      <c r="K75" s="291">
        <v>0</v>
      </c>
      <c r="L75" s="291">
        <v>0</v>
      </c>
      <c r="M75" s="291">
        <v>0</v>
      </c>
      <c r="N75" s="292">
        <v>0</v>
      </c>
      <c r="O75" s="291">
        <v>0</v>
      </c>
      <c r="P75" s="291">
        <v>0</v>
      </c>
      <c r="Q75" s="291">
        <v>0</v>
      </c>
      <c r="R75" s="291">
        <v>0</v>
      </c>
      <c r="S75" s="292">
        <v>0</v>
      </c>
      <c r="T75" s="291">
        <v>0</v>
      </c>
      <c r="U75" s="291">
        <v>0</v>
      </c>
      <c r="V75" s="291">
        <v>0</v>
      </c>
      <c r="W75" s="291">
        <v>0</v>
      </c>
      <c r="X75" s="292">
        <v>0</v>
      </c>
      <c r="Y75" s="291">
        <v>0</v>
      </c>
      <c r="Z75" s="291">
        <v>0</v>
      </c>
      <c r="AA75" s="291">
        <v>0</v>
      </c>
      <c r="AB75" s="291">
        <v>0</v>
      </c>
      <c r="AC75" s="292">
        <v>0</v>
      </c>
      <c r="AD75" s="291">
        <v>0</v>
      </c>
      <c r="AE75" s="291">
        <v>0</v>
      </c>
      <c r="AF75" s="291">
        <v>0</v>
      </c>
      <c r="AG75" s="291">
        <v>0</v>
      </c>
      <c r="AH75" s="292">
        <v>0</v>
      </c>
      <c r="AI75" s="291">
        <v>0</v>
      </c>
      <c r="AJ75" s="291">
        <v>0</v>
      </c>
      <c r="AK75" s="291">
        <v>0</v>
      </c>
      <c r="AL75" s="291">
        <v>0</v>
      </c>
      <c r="AM75" s="292">
        <v>0</v>
      </c>
      <c r="AN75" s="291">
        <v>0</v>
      </c>
      <c r="AO75" s="291">
        <v>0</v>
      </c>
      <c r="AP75" s="291">
        <v>0</v>
      </c>
      <c r="AQ75" s="291">
        <v>0</v>
      </c>
      <c r="AR75" s="292">
        <v>0</v>
      </c>
      <c r="AS75" s="291">
        <v>0</v>
      </c>
      <c r="AT75" s="291">
        <v>0</v>
      </c>
      <c r="AU75" s="291">
        <v>0</v>
      </c>
      <c r="AV75" s="291">
        <v>0</v>
      </c>
      <c r="AW75" s="292">
        <v>0</v>
      </c>
      <c r="AX75" s="291">
        <v>0</v>
      </c>
      <c r="AY75" s="291">
        <v>0</v>
      </c>
      <c r="AZ75" s="291">
        <v>0</v>
      </c>
      <c r="BA75" s="291">
        <v>0</v>
      </c>
      <c r="BB75" s="292">
        <v>0</v>
      </c>
      <c r="BC75" s="291">
        <v>0</v>
      </c>
      <c r="BD75" s="291">
        <v>0</v>
      </c>
      <c r="BE75" s="291">
        <v>0</v>
      </c>
      <c r="BF75" s="291">
        <v>0</v>
      </c>
      <c r="BG75" s="292">
        <v>0</v>
      </c>
      <c r="BH75" s="291">
        <v>0</v>
      </c>
      <c r="BI75" s="291">
        <v>0</v>
      </c>
      <c r="BJ75" s="291">
        <v>0</v>
      </c>
      <c r="BK75" s="291">
        <v>0</v>
      </c>
      <c r="BL75" s="292">
        <v>0</v>
      </c>
      <c r="BM75" s="291">
        <v>0</v>
      </c>
      <c r="BN75" s="291">
        <v>0</v>
      </c>
      <c r="BO75" s="291">
        <v>0</v>
      </c>
      <c r="BP75" s="291">
        <v>0</v>
      </c>
      <c r="BQ75" s="292">
        <v>0</v>
      </c>
      <c r="BR75" s="291">
        <v>0</v>
      </c>
      <c r="BS75" s="291">
        <v>0</v>
      </c>
      <c r="BT75" s="291">
        <v>0</v>
      </c>
      <c r="BU75" s="291">
        <v>0</v>
      </c>
      <c r="BV75" s="360">
        <v>0</v>
      </c>
      <c r="BW75" s="245"/>
      <c r="BX75" s="296">
        <v>0</v>
      </c>
    </row>
    <row r="76" spans="1:81" ht="13.5" hidden="1" customHeight="1" x14ac:dyDescent="0.2">
      <c r="A76" s="321"/>
      <c r="D76" s="326"/>
      <c r="E76" s="291">
        <v>0</v>
      </c>
      <c r="F76" s="291">
        <v>0</v>
      </c>
      <c r="G76" s="291">
        <v>0</v>
      </c>
      <c r="H76" s="291">
        <v>0</v>
      </c>
      <c r="I76" s="292">
        <v>0</v>
      </c>
      <c r="J76" s="290">
        <v>0</v>
      </c>
      <c r="K76" s="291">
        <v>0</v>
      </c>
      <c r="L76" s="291">
        <v>0</v>
      </c>
      <c r="M76" s="291">
        <v>0</v>
      </c>
      <c r="N76" s="292">
        <v>0</v>
      </c>
      <c r="O76" s="291">
        <v>0</v>
      </c>
      <c r="P76" s="291">
        <v>0</v>
      </c>
      <c r="Q76" s="291">
        <v>0</v>
      </c>
      <c r="R76" s="291">
        <v>0</v>
      </c>
      <c r="S76" s="292">
        <v>0</v>
      </c>
      <c r="T76" s="291">
        <v>0</v>
      </c>
      <c r="U76" s="291">
        <v>0</v>
      </c>
      <c r="V76" s="291">
        <v>0</v>
      </c>
      <c r="W76" s="291">
        <v>0</v>
      </c>
      <c r="X76" s="292">
        <v>0</v>
      </c>
      <c r="Y76" s="291">
        <v>0</v>
      </c>
      <c r="Z76" s="291">
        <v>0</v>
      </c>
      <c r="AA76" s="291">
        <v>0</v>
      </c>
      <c r="AB76" s="291">
        <v>0</v>
      </c>
      <c r="AC76" s="382">
        <v>0</v>
      </c>
      <c r="AD76" s="291">
        <v>0</v>
      </c>
      <c r="AE76" s="291">
        <v>0</v>
      </c>
      <c r="AF76" s="291">
        <v>0</v>
      </c>
      <c r="AG76" s="291">
        <v>0</v>
      </c>
      <c r="AH76" s="292">
        <v>0</v>
      </c>
      <c r="AI76" s="291">
        <v>0</v>
      </c>
      <c r="AJ76" s="291">
        <v>0</v>
      </c>
      <c r="AK76" s="291">
        <v>0</v>
      </c>
      <c r="AL76" s="291">
        <v>0</v>
      </c>
      <c r="AM76" s="292">
        <v>0</v>
      </c>
      <c r="AN76" s="291">
        <v>0</v>
      </c>
      <c r="AO76" s="291">
        <v>0</v>
      </c>
      <c r="AP76" s="291">
        <v>0</v>
      </c>
      <c r="AQ76" s="291">
        <v>0</v>
      </c>
      <c r="AR76" s="292">
        <v>0</v>
      </c>
      <c r="AS76" s="291">
        <v>0</v>
      </c>
      <c r="AT76" s="291">
        <v>0</v>
      </c>
      <c r="AU76" s="291">
        <v>0</v>
      </c>
      <c r="AV76" s="291">
        <v>0</v>
      </c>
      <c r="AW76" s="292">
        <v>0</v>
      </c>
      <c r="AX76" s="291">
        <v>0</v>
      </c>
      <c r="AY76" s="291">
        <v>0</v>
      </c>
      <c r="AZ76" s="291">
        <v>0</v>
      </c>
      <c r="BA76" s="291">
        <v>0</v>
      </c>
      <c r="BB76" s="292">
        <v>0</v>
      </c>
      <c r="BC76" s="291">
        <v>0</v>
      </c>
      <c r="BD76" s="291">
        <v>0</v>
      </c>
      <c r="BE76" s="291">
        <v>0</v>
      </c>
      <c r="BF76" s="291">
        <v>0</v>
      </c>
      <c r="BG76" s="292">
        <v>0</v>
      </c>
      <c r="BH76" s="291">
        <v>0</v>
      </c>
      <c r="BI76" s="291">
        <v>0</v>
      </c>
      <c r="BJ76" s="291">
        <v>0</v>
      </c>
      <c r="BK76" s="291">
        <v>0</v>
      </c>
      <c r="BL76" s="292">
        <v>0</v>
      </c>
      <c r="BM76" s="291">
        <v>0</v>
      </c>
      <c r="BN76" s="291">
        <v>0</v>
      </c>
      <c r="BO76" s="291">
        <v>0</v>
      </c>
      <c r="BP76" s="291">
        <v>0</v>
      </c>
      <c r="BQ76" s="292">
        <v>0</v>
      </c>
      <c r="BR76" s="291">
        <v>0</v>
      </c>
      <c r="BS76" s="291">
        <v>0</v>
      </c>
      <c r="BT76" s="291">
        <v>0</v>
      </c>
      <c r="BU76" s="291">
        <v>0</v>
      </c>
      <c r="BV76" s="360">
        <v>0</v>
      </c>
      <c r="BW76" s="245"/>
      <c r="BX76" s="296"/>
    </row>
    <row r="77" spans="1:81" x14ac:dyDescent="0.3">
      <c r="A77" s="361" t="s">
        <v>278</v>
      </c>
      <c r="B77" s="362"/>
      <c r="C77" s="363"/>
      <c r="D77" s="364"/>
      <c r="E77" s="345">
        <v>452231135.69999999</v>
      </c>
      <c r="F77" s="345">
        <v>1161710554</v>
      </c>
      <c r="G77" s="345">
        <v>12204523</v>
      </c>
      <c r="H77" s="345">
        <v>64986974</v>
      </c>
      <c r="I77" s="343">
        <v>1691133186.7</v>
      </c>
      <c r="J77" s="344">
        <v>21299829</v>
      </c>
      <c r="K77" s="345">
        <v>102058569</v>
      </c>
      <c r="L77" s="345">
        <v>362073</v>
      </c>
      <c r="M77" s="345">
        <v>13633997</v>
      </c>
      <c r="N77" s="343">
        <v>137354468</v>
      </c>
      <c r="O77" s="345">
        <v>23389993</v>
      </c>
      <c r="P77" s="345">
        <v>90353168</v>
      </c>
      <c r="Q77" s="345">
        <v>582691</v>
      </c>
      <c r="R77" s="345">
        <v>135434</v>
      </c>
      <c r="S77" s="343">
        <v>114461286</v>
      </c>
      <c r="T77" s="345">
        <v>39453704</v>
      </c>
      <c r="U77" s="345">
        <v>83604736</v>
      </c>
      <c r="V77" s="345">
        <v>553754</v>
      </c>
      <c r="W77" s="345">
        <v>23276</v>
      </c>
      <c r="X77" s="343">
        <v>123635470</v>
      </c>
      <c r="Y77" s="345">
        <v>47785459</v>
      </c>
      <c r="Z77" s="345">
        <v>124231215</v>
      </c>
      <c r="AA77" s="345">
        <v>714762</v>
      </c>
      <c r="AB77" s="345">
        <v>122353</v>
      </c>
      <c r="AC77" s="343">
        <v>172853789</v>
      </c>
      <c r="AD77" s="345">
        <v>47186195</v>
      </c>
      <c r="AE77" s="345">
        <v>98938819</v>
      </c>
      <c r="AF77" s="345">
        <v>844913</v>
      </c>
      <c r="AG77" s="345">
        <v>3802346</v>
      </c>
      <c r="AH77" s="343">
        <v>150772273</v>
      </c>
      <c r="AI77" s="345">
        <v>36134750</v>
      </c>
      <c r="AJ77" s="345">
        <v>77572968</v>
      </c>
      <c r="AK77" s="345">
        <v>853464</v>
      </c>
      <c r="AL77" s="345">
        <v>3802194</v>
      </c>
      <c r="AM77" s="343">
        <v>118363376</v>
      </c>
      <c r="AN77" s="345">
        <v>25297181</v>
      </c>
      <c r="AO77" s="345">
        <v>98060723</v>
      </c>
      <c r="AP77" s="345">
        <v>670997</v>
      </c>
      <c r="AQ77" s="345">
        <v>2101544</v>
      </c>
      <c r="AR77" s="343">
        <v>126130445</v>
      </c>
      <c r="AS77" s="345">
        <v>22391188</v>
      </c>
      <c r="AT77" s="345">
        <v>87521398</v>
      </c>
      <c r="AU77" s="345">
        <v>737799</v>
      </c>
      <c r="AV77" s="345">
        <v>11508</v>
      </c>
      <c r="AW77" s="343">
        <v>110661893</v>
      </c>
      <c r="AX77" s="345">
        <v>41128944</v>
      </c>
      <c r="AY77" s="345">
        <v>102434676</v>
      </c>
      <c r="AZ77" s="345">
        <v>1572655</v>
      </c>
      <c r="BA77" s="345">
        <v>17382458</v>
      </c>
      <c r="BB77" s="343">
        <v>162518733</v>
      </c>
      <c r="BC77" s="345">
        <v>48538016</v>
      </c>
      <c r="BD77" s="345">
        <v>89460505</v>
      </c>
      <c r="BE77" s="345">
        <v>896488</v>
      </c>
      <c r="BF77" s="345">
        <v>7924</v>
      </c>
      <c r="BG77" s="343">
        <v>138902933</v>
      </c>
      <c r="BH77" s="345">
        <v>50682519</v>
      </c>
      <c r="BI77" s="345">
        <v>77944225</v>
      </c>
      <c r="BJ77" s="345">
        <v>685432</v>
      </c>
      <c r="BK77" s="345">
        <v>13013794</v>
      </c>
      <c r="BL77" s="343">
        <v>142325970</v>
      </c>
      <c r="BM77" s="345">
        <v>48943357.700000003</v>
      </c>
      <c r="BN77" s="345">
        <v>129529552</v>
      </c>
      <c r="BO77" s="345">
        <v>3729495</v>
      </c>
      <c r="BP77" s="345">
        <v>10950146</v>
      </c>
      <c r="BQ77" s="343">
        <v>193152550.69999999</v>
      </c>
      <c r="BR77" s="345">
        <v>452231135.69999999</v>
      </c>
      <c r="BS77" s="345">
        <v>1161710554</v>
      </c>
      <c r="BT77" s="345">
        <v>12204523</v>
      </c>
      <c r="BU77" s="345">
        <v>64986974</v>
      </c>
      <c r="BV77" s="347">
        <v>1691133186.7</v>
      </c>
      <c r="BW77" s="365"/>
      <c r="BX77" s="296">
        <v>100</v>
      </c>
    </row>
    <row r="78" spans="1:81" ht="13.95" customHeight="1" x14ac:dyDescent="0.3">
      <c r="A78" s="383" t="s">
        <v>279</v>
      </c>
      <c r="B78" s="384"/>
      <c r="C78" s="384"/>
      <c r="D78" s="288"/>
      <c r="E78" s="368"/>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row>
    <row r="79" spans="1:81" ht="13.95" customHeight="1" x14ac:dyDescent="0.3">
      <c r="A79" s="334" t="s">
        <v>314</v>
      </c>
      <c r="B79" s="366"/>
      <c r="C79" s="366"/>
      <c r="D79" s="366"/>
      <c r="E79" s="366"/>
      <c r="F79" s="366"/>
      <c r="G79" s="366"/>
      <c r="H79" s="366"/>
      <c r="I79" s="367"/>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row>
    <row r="80" spans="1:81" ht="12.75" hidden="1" x14ac:dyDescent="0.2">
      <c r="A80" s="334" t="s">
        <v>315</v>
      </c>
      <c r="B80" s="366"/>
      <c r="C80" s="366"/>
      <c r="D80" s="366"/>
      <c r="E80" s="366"/>
      <c r="F80" s="366"/>
      <c r="G80" s="366"/>
      <c r="H80" s="366"/>
      <c r="I80" s="366"/>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c r="AZ80" s="385"/>
      <c r="BA80" s="385"/>
      <c r="BB80" s="385"/>
      <c r="BC80" s="385"/>
      <c r="BD80" s="385"/>
      <c r="BE80" s="385"/>
      <c r="BF80" s="385"/>
      <c r="BG80" s="385"/>
      <c r="BH80" s="385"/>
      <c r="BI80" s="385"/>
      <c r="BJ80" s="385"/>
      <c r="BK80" s="385"/>
      <c r="BL80" s="385"/>
      <c r="BM80" s="385"/>
      <c r="BN80" s="385"/>
      <c r="BO80" s="385"/>
      <c r="BP80" s="385"/>
      <c r="BQ80" s="385"/>
      <c r="BR80" s="385"/>
      <c r="BS80" s="385"/>
      <c r="BT80" s="385"/>
      <c r="BU80" s="385"/>
      <c r="BV80" s="385"/>
    </row>
    <row r="81" spans="1:74" ht="12" hidden="1" customHeight="1" x14ac:dyDescent="0.2">
      <c r="A81" s="383" t="s">
        <v>316</v>
      </c>
      <c r="B81" s="386"/>
      <c r="C81" s="386"/>
      <c r="D81" s="288"/>
      <c r="E81" s="387"/>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row>
    <row r="82" spans="1:74" ht="13.95" customHeight="1" x14ac:dyDescent="0.3">
      <c r="A82" s="334" t="s">
        <v>284</v>
      </c>
      <c r="B82" s="334"/>
      <c r="C82" s="334"/>
      <c r="D82" s="334"/>
      <c r="E82" s="334"/>
      <c r="F82" s="334"/>
      <c r="G82" s="334"/>
      <c r="H82" s="334"/>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row>
    <row r="83" spans="1:74" x14ac:dyDescent="0.3">
      <c r="A83" s="334"/>
      <c r="B83" s="366"/>
      <c r="C83" s="366"/>
      <c r="D83" s="366"/>
      <c r="E83" s="366"/>
      <c r="F83" s="366"/>
      <c r="G83" s="366"/>
      <c r="H83" s="366"/>
      <c r="I83" s="367"/>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row>
    <row r="86" spans="1:74" x14ac:dyDescent="0.3">
      <c r="B86" s="301"/>
      <c r="C86" s="288"/>
      <c r="D86" s="288"/>
      <c r="E86" s="368"/>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5"/>
      <c r="BU86" s="325"/>
      <c r="BV86" s="325"/>
    </row>
    <row r="87" spans="1:74" x14ac:dyDescent="0.3">
      <c r="B87" s="301"/>
      <c r="C87" s="288"/>
      <c r="D87" s="288"/>
      <c r="E87" s="368"/>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row>
    <row r="88" spans="1:74" x14ac:dyDescent="0.3">
      <c r="B88" s="301"/>
      <c r="C88" s="288"/>
      <c r="D88" s="288"/>
      <c r="E88" s="368"/>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row>
    <row r="89" spans="1:74" x14ac:dyDescent="0.3">
      <c r="B89" s="301"/>
      <c r="C89" s="288"/>
      <c r="D89" s="288"/>
      <c r="E89" s="368"/>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row>
    <row r="90" spans="1:74" x14ac:dyDescent="0.3">
      <c r="B90" s="301"/>
      <c r="C90" s="288"/>
      <c r="D90" s="288"/>
      <c r="E90" s="368"/>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row>
    <row r="91" spans="1:74" x14ac:dyDescent="0.3">
      <c r="B91" s="301"/>
      <c r="C91" s="288"/>
      <c r="D91" s="288"/>
      <c r="E91" s="368"/>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row>
    <row r="92" spans="1:74" x14ac:dyDescent="0.3">
      <c r="B92" s="301"/>
      <c r="C92" s="288"/>
      <c r="D92" s="288"/>
      <c r="E92" s="368"/>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5"/>
      <c r="AY92" s="325"/>
      <c r="AZ92" s="325"/>
      <c r="BA92" s="325"/>
      <c r="BB92" s="325"/>
      <c r="BC92" s="325"/>
      <c r="BD92" s="325"/>
      <c r="BE92" s="325"/>
      <c r="BF92" s="325"/>
      <c r="BG92" s="325"/>
      <c r="BH92" s="325"/>
      <c r="BI92" s="325"/>
      <c r="BJ92" s="325"/>
      <c r="BK92" s="325"/>
      <c r="BL92" s="325"/>
      <c r="BM92" s="325"/>
      <c r="BN92" s="325"/>
      <c r="BO92" s="325"/>
      <c r="BP92" s="325"/>
      <c r="BQ92" s="325"/>
      <c r="BR92" s="325"/>
      <c r="BS92" s="325"/>
      <c r="BT92" s="325"/>
      <c r="BU92" s="325"/>
      <c r="BV92" s="325"/>
    </row>
    <row r="93" spans="1:74" x14ac:dyDescent="0.3">
      <c r="B93" s="301"/>
      <c r="C93" s="288"/>
      <c r="D93" s="288"/>
      <c r="E93" s="368"/>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5"/>
      <c r="AZ93" s="325"/>
      <c r="BA93" s="325"/>
      <c r="BB93" s="325"/>
      <c r="BC93" s="325"/>
      <c r="BD93" s="325"/>
      <c r="BE93" s="325"/>
      <c r="BF93" s="325"/>
      <c r="BG93" s="325"/>
      <c r="BH93" s="325"/>
      <c r="BI93" s="325"/>
      <c r="BJ93" s="325"/>
      <c r="BK93" s="325"/>
      <c r="BL93" s="325"/>
      <c r="BM93" s="325"/>
      <c r="BN93" s="325"/>
      <c r="BO93" s="325"/>
      <c r="BP93" s="325"/>
      <c r="BQ93" s="325"/>
      <c r="BR93" s="325"/>
      <c r="BS93" s="325"/>
      <c r="BT93" s="325"/>
      <c r="BU93" s="325"/>
      <c r="BV93" s="325"/>
    </row>
    <row r="94" spans="1:74" x14ac:dyDescent="0.3">
      <c r="B94" s="301"/>
      <c r="C94" s="288"/>
      <c r="D94" s="288"/>
      <c r="E94" s="368"/>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5"/>
      <c r="BI94" s="325"/>
      <c r="BJ94" s="325"/>
      <c r="BK94" s="325"/>
      <c r="BL94" s="325"/>
      <c r="BM94" s="325"/>
      <c r="BN94" s="325"/>
      <c r="BO94" s="325"/>
      <c r="BP94" s="325"/>
      <c r="BQ94" s="325"/>
      <c r="BR94" s="325"/>
      <c r="BS94" s="325"/>
      <c r="BT94" s="325"/>
      <c r="BU94" s="325"/>
      <c r="BV94" s="325"/>
    </row>
    <row r="95" spans="1:74" x14ac:dyDescent="0.3">
      <c r="B95" s="301"/>
      <c r="C95" s="288"/>
      <c r="D95" s="288"/>
      <c r="E95" s="368"/>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row>
    <row r="96" spans="1:74" x14ac:dyDescent="0.3">
      <c r="B96" s="301"/>
      <c r="C96" s="288"/>
      <c r="D96" s="288"/>
      <c r="E96" s="368"/>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row>
    <row r="97" spans="2:74" x14ac:dyDescent="0.3">
      <c r="B97" s="301"/>
      <c r="C97" s="288"/>
      <c r="D97" s="288"/>
      <c r="E97" s="368"/>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row>
    <row r="98" spans="2:74" x14ac:dyDescent="0.3">
      <c r="B98" s="301"/>
      <c r="C98" s="288"/>
      <c r="D98" s="288"/>
      <c r="E98" s="368"/>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row>
    <row r="99" spans="2:74" x14ac:dyDescent="0.3">
      <c r="B99" s="301"/>
      <c r="C99" s="288"/>
      <c r="D99" s="288"/>
      <c r="E99" s="368"/>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row>
    <row r="100" spans="2:74" x14ac:dyDescent="0.3">
      <c r="B100" s="301"/>
      <c r="C100" s="288"/>
      <c r="D100" s="288"/>
      <c r="E100" s="368"/>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row>
    <row r="101" spans="2:74" x14ac:dyDescent="0.3">
      <c r="B101" s="301"/>
      <c r="C101" s="288"/>
      <c r="D101" s="288"/>
      <c r="E101" s="368"/>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row>
    <row r="102" spans="2:74" x14ac:dyDescent="0.3">
      <c r="B102" s="301"/>
      <c r="C102" s="288"/>
      <c r="D102" s="288"/>
      <c r="E102" s="368"/>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325"/>
      <c r="AS102" s="325"/>
      <c r="AT102" s="325"/>
      <c r="AU102" s="325"/>
      <c r="AV102" s="325"/>
      <c r="AW102" s="325"/>
      <c r="AX102" s="325"/>
      <c r="AY102" s="325"/>
      <c r="AZ102" s="325"/>
      <c r="BA102" s="325"/>
      <c r="BB102" s="325"/>
      <c r="BC102" s="325"/>
      <c r="BD102" s="325"/>
      <c r="BE102" s="325"/>
      <c r="BF102" s="325"/>
      <c r="BG102" s="325"/>
      <c r="BH102" s="325"/>
      <c r="BI102" s="325"/>
      <c r="BJ102" s="325"/>
      <c r="BK102" s="325"/>
      <c r="BL102" s="325"/>
      <c r="BM102" s="325"/>
      <c r="BN102" s="325"/>
      <c r="BO102" s="325"/>
      <c r="BP102" s="325"/>
      <c r="BQ102" s="325"/>
      <c r="BR102" s="325"/>
      <c r="BS102" s="325"/>
      <c r="BT102" s="325"/>
      <c r="BU102" s="325"/>
      <c r="BV102" s="325"/>
    </row>
    <row r="103" spans="2:74" x14ac:dyDescent="0.3">
      <c r="B103" s="301"/>
      <c r="C103" s="288"/>
      <c r="D103" s="288"/>
      <c r="E103" s="368"/>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row>
    <row r="104" spans="2:74" x14ac:dyDescent="0.3">
      <c r="B104" s="301"/>
      <c r="C104" s="288"/>
      <c r="D104" s="288"/>
      <c r="E104" s="368"/>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row>
    <row r="105" spans="2:74" x14ac:dyDescent="0.3">
      <c r="B105" s="301"/>
      <c r="C105" s="288"/>
      <c r="D105" s="288"/>
      <c r="E105" s="368"/>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row>
    <row r="106" spans="2:74" x14ac:dyDescent="0.3">
      <c r="B106" s="301"/>
      <c r="C106" s="288"/>
      <c r="D106" s="288"/>
      <c r="E106" s="368"/>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row>
    <row r="107" spans="2:74" x14ac:dyDescent="0.3">
      <c r="B107" s="301"/>
      <c r="C107" s="288"/>
      <c r="D107" s="288"/>
      <c r="E107" s="368"/>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row>
    <row r="108" spans="2:74" x14ac:dyDescent="0.3">
      <c r="B108" s="301"/>
      <c r="C108" s="288"/>
      <c r="D108" s="288"/>
      <c r="E108" s="368"/>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row>
    <row r="109" spans="2:74" x14ac:dyDescent="0.3">
      <c r="B109" s="301"/>
      <c r="C109" s="288"/>
      <c r="D109" s="288"/>
      <c r="E109" s="368"/>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row>
    <row r="110" spans="2:74" x14ac:dyDescent="0.3">
      <c r="B110" s="301"/>
      <c r="C110" s="288"/>
      <c r="D110" s="288"/>
      <c r="E110" s="368"/>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row>
    <row r="111" spans="2:74" x14ac:dyDescent="0.3">
      <c r="B111" s="301"/>
      <c r="C111" s="288"/>
      <c r="D111" s="288"/>
      <c r="E111" s="368"/>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row>
    <row r="112" spans="2:74" x14ac:dyDescent="0.3">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245"/>
      <c r="BC112" s="245"/>
      <c r="BD112" s="245"/>
      <c r="BE112" s="245"/>
      <c r="BF112" s="245"/>
      <c r="BG112" s="245"/>
      <c r="BH112" s="245"/>
      <c r="BI112" s="245"/>
      <c r="BJ112" s="245"/>
      <c r="BK112" s="245"/>
      <c r="BL112" s="245"/>
      <c r="BM112" s="245"/>
      <c r="BN112" s="245"/>
      <c r="BO112" s="245"/>
      <c r="BP112" s="245"/>
      <c r="BQ112" s="245"/>
      <c r="BR112" s="245"/>
      <c r="BS112" s="245"/>
      <c r="BT112" s="245"/>
      <c r="BU112" s="245"/>
      <c r="BV112" s="245"/>
    </row>
    <row r="126" spans="2:74" x14ac:dyDescent="0.3">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69"/>
      <c r="BP126" s="369"/>
      <c r="BQ126" s="369"/>
      <c r="BR126" s="369"/>
      <c r="BS126" s="369"/>
      <c r="BT126" s="369"/>
      <c r="BU126" s="369"/>
      <c r="BV126" s="369"/>
    </row>
    <row r="127" spans="2:74" x14ac:dyDescent="0.3">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69"/>
      <c r="BB127" s="369"/>
      <c r="BC127" s="369"/>
      <c r="BD127" s="369"/>
      <c r="BE127" s="369"/>
      <c r="BF127" s="369"/>
      <c r="BG127" s="369"/>
      <c r="BH127" s="369"/>
      <c r="BI127" s="369"/>
      <c r="BJ127" s="369"/>
      <c r="BK127" s="369"/>
      <c r="BL127" s="369"/>
      <c r="BM127" s="369"/>
      <c r="BN127" s="369"/>
      <c r="BO127" s="369"/>
      <c r="BP127" s="369"/>
      <c r="BQ127" s="369"/>
      <c r="BR127" s="369"/>
      <c r="BS127" s="369"/>
      <c r="BT127" s="369"/>
      <c r="BU127" s="369"/>
      <c r="BV127" s="369"/>
    </row>
    <row r="128" spans="2:74" x14ac:dyDescent="0.3">
      <c r="B128" s="301"/>
      <c r="C128" s="288"/>
      <c r="D128" s="288"/>
      <c r="E128" s="368"/>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25"/>
      <c r="AR128" s="325"/>
      <c r="AS128" s="325"/>
      <c r="AT128" s="325"/>
      <c r="AU128" s="325"/>
      <c r="AV128" s="325"/>
      <c r="AW128" s="325"/>
      <c r="AX128" s="325"/>
      <c r="AY128" s="325"/>
      <c r="AZ128" s="325"/>
      <c r="BA128" s="325"/>
      <c r="BB128" s="325"/>
      <c r="BC128" s="325"/>
      <c r="BD128" s="325"/>
      <c r="BE128" s="325"/>
      <c r="BF128" s="325"/>
      <c r="BG128" s="325"/>
      <c r="BH128" s="325"/>
      <c r="BI128" s="325"/>
      <c r="BJ128" s="325"/>
      <c r="BK128" s="325"/>
      <c r="BL128" s="325"/>
      <c r="BM128" s="325"/>
      <c r="BN128" s="325"/>
      <c r="BO128" s="325"/>
      <c r="BP128" s="325"/>
      <c r="BQ128" s="325"/>
      <c r="BR128" s="325"/>
      <c r="BS128" s="325"/>
      <c r="BT128" s="325"/>
      <c r="BU128" s="325"/>
      <c r="BV128" s="325"/>
    </row>
    <row r="129" spans="2:74" x14ac:dyDescent="0.3">
      <c r="B129" s="301"/>
      <c r="C129" s="301"/>
      <c r="D129" s="301"/>
      <c r="E129" s="368"/>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25"/>
      <c r="BU129" s="325"/>
      <c r="BV129" s="325"/>
    </row>
    <row r="130" spans="2:74" x14ac:dyDescent="0.3">
      <c r="B130" s="301"/>
      <c r="C130" s="288"/>
      <c r="D130" s="288"/>
      <c r="E130" s="368"/>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5"/>
      <c r="BG130" s="325"/>
      <c r="BH130" s="325"/>
      <c r="BI130" s="325"/>
      <c r="BJ130" s="325"/>
      <c r="BK130" s="325"/>
      <c r="BL130" s="325"/>
      <c r="BM130" s="325"/>
      <c r="BN130" s="325"/>
      <c r="BO130" s="325"/>
      <c r="BP130" s="325"/>
      <c r="BQ130" s="325"/>
      <c r="BR130" s="325"/>
      <c r="BS130" s="325"/>
      <c r="BT130" s="325"/>
      <c r="BU130" s="325"/>
      <c r="BV130" s="325"/>
    </row>
    <row r="131" spans="2:74" x14ac:dyDescent="0.3">
      <c r="C131" s="288"/>
      <c r="D131" s="288"/>
      <c r="E131" s="368"/>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c r="BF131" s="325"/>
      <c r="BG131" s="325"/>
      <c r="BH131" s="325"/>
      <c r="BI131" s="325"/>
      <c r="BJ131" s="325"/>
      <c r="BK131" s="325"/>
      <c r="BL131" s="325"/>
      <c r="BM131" s="325"/>
      <c r="BN131" s="325"/>
      <c r="BO131" s="325"/>
      <c r="BP131" s="325"/>
      <c r="BQ131" s="325"/>
      <c r="BR131" s="325"/>
      <c r="BS131" s="325"/>
      <c r="BT131" s="325"/>
      <c r="BU131" s="325"/>
      <c r="BV131" s="325"/>
    </row>
    <row r="132" spans="2:74" x14ac:dyDescent="0.3">
      <c r="B132" s="301"/>
      <c r="C132" s="288"/>
      <c r="D132" s="288"/>
      <c r="E132" s="368"/>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row>
    <row r="133" spans="2:74" x14ac:dyDescent="0.3">
      <c r="B133" s="301"/>
      <c r="C133" s="288"/>
      <c r="D133" s="288"/>
      <c r="E133" s="368"/>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25"/>
    </row>
    <row r="134" spans="2:74" x14ac:dyDescent="0.3">
      <c r="B134" s="301"/>
      <c r="C134" s="288"/>
      <c r="D134" s="288"/>
      <c r="E134" s="368"/>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row>
    <row r="135" spans="2:74" x14ac:dyDescent="0.3">
      <c r="B135" s="301"/>
      <c r="C135" s="288"/>
      <c r="D135" s="288"/>
      <c r="E135" s="368"/>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325"/>
      <c r="AV135" s="325"/>
      <c r="AW135" s="325"/>
      <c r="AX135" s="325"/>
      <c r="AY135" s="325"/>
      <c r="AZ135" s="325"/>
      <c r="BA135" s="325"/>
      <c r="BB135" s="325"/>
      <c r="BC135" s="325"/>
      <c r="BD135" s="325"/>
      <c r="BE135" s="325"/>
      <c r="BF135" s="325"/>
      <c r="BG135" s="325"/>
      <c r="BH135" s="325"/>
      <c r="BI135" s="325"/>
      <c r="BJ135" s="325"/>
      <c r="BK135" s="325"/>
      <c r="BL135" s="325"/>
      <c r="BM135" s="325"/>
      <c r="BN135" s="325"/>
      <c r="BO135" s="325"/>
      <c r="BP135" s="325"/>
      <c r="BQ135" s="325"/>
      <c r="BR135" s="325"/>
      <c r="BS135" s="325"/>
      <c r="BT135" s="325"/>
      <c r="BU135" s="325"/>
      <c r="BV135" s="325"/>
    </row>
    <row r="136" spans="2:74" x14ac:dyDescent="0.3">
      <c r="B136" s="301"/>
      <c r="C136" s="288"/>
      <c r="D136" s="288"/>
      <c r="E136" s="368"/>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5"/>
      <c r="AZ136" s="325"/>
      <c r="BA136" s="325"/>
      <c r="BB136" s="325"/>
      <c r="BC136" s="325"/>
      <c r="BD136" s="325"/>
      <c r="BE136" s="325"/>
      <c r="BF136" s="325"/>
      <c r="BG136" s="325"/>
      <c r="BH136" s="325"/>
      <c r="BI136" s="325"/>
      <c r="BJ136" s="325"/>
      <c r="BK136" s="325"/>
      <c r="BL136" s="325"/>
      <c r="BM136" s="325"/>
      <c r="BN136" s="325"/>
      <c r="BO136" s="325"/>
      <c r="BP136" s="325"/>
      <c r="BQ136" s="325"/>
      <c r="BR136" s="325"/>
      <c r="BS136" s="325"/>
      <c r="BT136" s="325"/>
      <c r="BU136" s="325"/>
      <c r="BV136" s="325"/>
    </row>
    <row r="137" spans="2:74" x14ac:dyDescent="0.3">
      <c r="B137" s="301"/>
      <c r="C137" s="288"/>
      <c r="D137" s="288"/>
      <c r="E137" s="368"/>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5"/>
      <c r="AO137" s="325"/>
      <c r="AP137" s="325"/>
      <c r="AQ137" s="325"/>
      <c r="AR137" s="325"/>
      <c r="AS137" s="325"/>
      <c r="AT137" s="325"/>
      <c r="AU137" s="325"/>
      <c r="AV137" s="325"/>
      <c r="AW137" s="325"/>
      <c r="AX137" s="325"/>
      <c r="AY137" s="325"/>
      <c r="AZ137" s="325"/>
      <c r="BA137" s="325"/>
      <c r="BB137" s="325"/>
      <c r="BC137" s="325"/>
      <c r="BD137" s="325"/>
      <c r="BE137" s="325"/>
      <c r="BF137" s="325"/>
      <c r="BG137" s="325"/>
      <c r="BH137" s="325"/>
      <c r="BI137" s="325"/>
      <c r="BJ137" s="325"/>
      <c r="BK137" s="325"/>
      <c r="BL137" s="325"/>
      <c r="BM137" s="325"/>
      <c r="BN137" s="325"/>
      <c r="BO137" s="325"/>
      <c r="BP137" s="325"/>
      <c r="BQ137" s="325"/>
      <c r="BR137" s="325"/>
      <c r="BS137" s="325"/>
      <c r="BT137" s="325"/>
      <c r="BU137" s="325"/>
      <c r="BV137" s="325"/>
    </row>
    <row r="138" spans="2:74" x14ac:dyDescent="0.3">
      <c r="B138" s="301"/>
      <c r="C138" s="288"/>
      <c r="D138" s="288"/>
      <c r="E138" s="368"/>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S138" s="325"/>
      <c r="AT138" s="325"/>
      <c r="AU138" s="325"/>
      <c r="AV138" s="325"/>
      <c r="AW138" s="325"/>
      <c r="AX138" s="325"/>
      <c r="AY138" s="325"/>
      <c r="AZ138" s="325"/>
      <c r="BA138" s="325"/>
      <c r="BB138" s="325"/>
      <c r="BC138" s="325"/>
      <c r="BD138" s="325"/>
      <c r="BE138" s="325"/>
      <c r="BF138" s="325"/>
      <c r="BG138" s="325"/>
      <c r="BH138" s="325"/>
      <c r="BI138" s="325"/>
      <c r="BJ138" s="325"/>
      <c r="BK138" s="325"/>
      <c r="BL138" s="325"/>
      <c r="BM138" s="325"/>
      <c r="BN138" s="325"/>
      <c r="BO138" s="325"/>
      <c r="BP138" s="325"/>
      <c r="BQ138" s="325"/>
      <c r="BR138" s="325"/>
      <c r="BS138" s="325"/>
      <c r="BT138" s="325"/>
      <c r="BU138" s="325"/>
      <c r="BV138" s="325"/>
    </row>
    <row r="139" spans="2:74" x14ac:dyDescent="0.3">
      <c r="B139" s="301"/>
      <c r="C139" s="288"/>
      <c r="D139" s="288"/>
      <c r="E139" s="368"/>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5"/>
      <c r="AT139" s="325"/>
      <c r="AU139" s="325"/>
      <c r="AV139" s="325"/>
      <c r="AW139" s="325"/>
      <c r="AX139" s="325"/>
      <c r="AY139" s="325"/>
      <c r="AZ139" s="325"/>
      <c r="BA139" s="325"/>
      <c r="BB139" s="325"/>
      <c r="BC139" s="325"/>
      <c r="BD139" s="325"/>
      <c r="BE139" s="325"/>
      <c r="BF139" s="325"/>
      <c r="BG139" s="325"/>
      <c r="BH139" s="325"/>
      <c r="BI139" s="325"/>
      <c r="BJ139" s="325"/>
      <c r="BK139" s="325"/>
      <c r="BL139" s="325"/>
      <c r="BM139" s="325"/>
      <c r="BN139" s="325"/>
      <c r="BO139" s="325"/>
      <c r="BP139" s="325"/>
      <c r="BQ139" s="325"/>
      <c r="BR139" s="325"/>
      <c r="BS139" s="325"/>
      <c r="BT139" s="325"/>
      <c r="BU139" s="325"/>
      <c r="BV139" s="325"/>
    </row>
    <row r="140" spans="2:74" x14ac:dyDescent="0.3">
      <c r="B140" s="301"/>
      <c r="C140" s="288"/>
      <c r="D140" s="288"/>
      <c r="E140" s="368"/>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5"/>
      <c r="AV140" s="325"/>
      <c r="AW140" s="325"/>
      <c r="AX140" s="325"/>
      <c r="AY140" s="325"/>
      <c r="AZ140" s="325"/>
      <c r="BA140" s="325"/>
      <c r="BB140" s="325"/>
      <c r="BC140" s="325"/>
      <c r="BD140" s="325"/>
      <c r="BE140" s="325"/>
      <c r="BF140" s="325"/>
      <c r="BG140" s="325"/>
      <c r="BH140" s="325"/>
      <c r="BI140" s="325"/>
      <c r="BJ140" s="325"/>
      <c r="BK140" s="325"/>
      <c r="BL140" s="325"/>
      <c r="BM140" s="325"/>
      <c r="BN140" s="325"/>
      <c r="BO140" s="325"/>
      <c r="BP140" s="325"/>
      <c r="BQ140" s="325"/>
      <c r="BR140" s="325"/>
      <c r="BS140" s="325"/>
      <c r="BT140" s="325"/>
      <c r="BU140" s="325"/>
      <c r="BV140" s="325"/>
    </row>
    <row r="141" spans="2:74" x14ac:dyDescent="0.3">
      <c r="B141" s="301"/>
      <c r="C141" s="301"/>
      <c r="D141" s="301"/>
      <c r="E141" s="368"/>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25"/>
      <c r="AR141" s="325"/>
      <c r="AS141" s="325"/>
      <c r="AT141" s="325"/>
      <c r="AU141" s="325"/>
      <c r="AV141" s="325"/>
      <c r="AW141" s="325"/>
      <c r="AX141" s="325"/>
      <c r="AY141" s="325"/>
      <c r="AZ141" s="325"/>
      <c r="BA141" s="325"/>
      <c r="BB141" s="325"/>
      <c r="BC141" s="325"/>
      <c r="BD141" s="325"/>
      <c r="BE141" s="325"/>
      <c r="BF141" s="325"/>
      <c r="BG141" s="325"/>
      <c r="BH141" s="325"/>
      <c r="BI141" s="325"/>
      <c r="BJ141" s="325"/>
      <c r="BK141" s="325"/>
      <c r="BL141" s="325"/>
      <c r="BM141" s="325"/>
      <c r="BN141" s="325"/>
      <c r="BO141" s="325"/>
      <c r="BP141" s="325"/>
      <c r="BQ141" s="325"/>
      <c r="BR141" s="325"/>
      <c r="BS141" s="325"/>
      <c r="BT141" s="325"/>
      <c r="BU141" s="325"/>
      <c r="BV141" s="325"/>
    </row>
    <row r="142" spans="2:74" x14ac:dyDescent="0.3">
      <c r="B142" s="301"/>
      <c r="C142" s="288"/>
      <c r="D142" s="288"/>
      <c r="E142" s="368"/>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5"/>
      <c r="BC142" s="325"/>
      <c r="BD142" s="325"/>
      <c r="BE142" s="325"/>
      <c r="BF142" s="325"/>
      <c r="BG142" s="325"/>
      <c r="BH142" s="325"/>
      <c r="BI142" s="325"/>
      <c r="BJ142" s="325"/>
      <c r="BK142" s="325"/>
      <c r="BL142" s="325"/>
      <c r="BM142" s="325"/>
      <c r="BN142" s="325"/>
      <c r="BO142" s="325"/>
      <c r="BP142" s="325"/>
      <c r="BQ142" s="325"/>
      <c r="BR142" s="325"/>
      <c r="BS142" s="325"/>
      <c r="BT142" s="325"/>
      <c r="BU142" s="325"/>
      <c r="BV142" s="325"/>
    </row>
    <row r="143" spans="2:74" x14ac:dyDescent="0.3">
      <c r="B143" s="301"/>
      <c r="C143" s="288"/>
      <c r="D143" s="288"/>
      <c r="E143" s="368"/>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c r="AN143" s="325"/>
      <c r="AO143" s="325"/>
      <c r="AP143" s="325"/>
      <c r="AQ143" s="325"/>
      <c r="AR143" s="325"/>
      <c r="AS143" s="325"/>
      <c r="AT143" s="325"/>
      <c r="AU143" s="325"/>
      <c r="AV143" s="325"/>
      <c r="AW143" s="325"/>
      <c r="AX143" s="325"/>
      <c r="AY143" s="325"/>
      <c r="AZ143" s="325"/>
      <c r="BA143" s="325"/>
      <c r="BB143" s="325"/>
      <c r="BC143" s="325"/>
      <c r="BD143" s="325"/>
      <c r="BE143" s="325"/>
      <c r="BF143" s="325"/>
      <c r="BG143" s="325"/>
      <c r="BH143" s="325"/>
      <c r="BI143" s="325"/>
      <c r="BJ143" s="325"/>
      <c r="BK143" s="325"/>
      <c r="BL143" s="325"/>
      <c r="BM143" s="325"/>
      <c r="BN143" s="325"/>
      <c r="BO143" s="325"/>
      <c r="BP143" s="325"/>
      <c r="BQ143" s="325"/>
      <c r="BR143" s="325"/>
      <c r="BS143" s="325"/>
      <c r="BT143" s="325"/>
      <c r="BU143" s="325"/>
      <c r="BV143" s="325"/>
    </row>
    <row r="144" spans="2:74" x14ac:dyDescent="0.3">
      <c r="B144" s="301"/>
      <c r="C144" s="288"/>
      <c r="D144" s="288"/>
      <c r="E144" s="368"/>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c r="AN144" s="325"/>
      <c r="AO144" s="325"/>
      <c r="AP144" s="325"/>
      <c r="AQ144" s="325"/>
      <c r="AR144" s="325"/>
      <c r="AS144" s="325"/>
      <c r="AT144" s="325"/>
      <c r="AU144" s="325"/>
      <c r="AV144" s="325"/>
      <c r="AW144" s="325"/>
      <c r="AX144" s="325"/>
      <c r="AY144" s="325"/>
      <c r="AZ144" s="325"/>
      <c r="BA144" s="325"/>
      <c r="BB144" s="325"/>
      <c r="BC144" s="325"/>
      <c r="BD144" s="325"/>
      <c r="BE144" s="325"/>
      <c r="BF144" s="325"/>
      <c r="BG144" s="325"/>
      <c r="BH144" s="325"/>
      <c r="BI144" s="325"/>
      <c r="BJ144" s="325"/>
      <c r="BK144" s="325"/>
      <c r="BL144" s="325"/>
      <c r="BM144" s="325"/>
      <c r="BN144" s="325"/>
      <c r="BO144" s="325"/>
      <c r="BP144" s="325"/>
      <c r="BQ144" s="325"/>
      <c r="BR144" s="325"/>
      <c r="BS144" s="325"/>
      <c r="BT144" s="325"/>
      <c r="BU144" s="325"/>
      <c r="BV144" s="325"/>
    </row>
    <row r="145" spans="2:74" x14ac:dyDescent="0.3">
      <c r="B145" s="301"/>
      <c r="C145" s="288"/>
      <c r="D145" s="288"/>
      <c r="E145" s="368"/>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c r="AN145" s="325"/>
      <c r="AO145" s="325"/>
      <c r="AP145" s="325"/>
      <c r="AQ145" s="325"/>
      <c r="AR145" s="325"/>
      <c r="AS145" s="325"/>
      <c r="AT145" s="325"/>
      <c r="AU145" s="325"/>
      <c r="AV145" s="325"/>
      <c r="AW145" s="325"/>
      <c r="AX145" s="325"/>
      <c r="AY145" s="325"/>
      <c r="AZ145" s="325"/>
      <c r="BA145" s="325"/>
      <c r="BB145" s="325"/>
      <c r="BC145" s="325"/>
      <c r="BD145" s="325"/>
      <c r="BE145" s="325"/>
      <c r="BF145" s="325"/>
      <c r="BG145" s="325"/>
      <c r="BH145" s="325"/>
      <c r="BI145" s="325"/>
      <c r="BJ145" s="325"/>
      <c r="BK145" s="325"/>
      <c r="BL145" s="325"/>
      <c r="BM145" s="325"/>
      <c r="BN145" s="325"/>
      <c r="BO145" s="325"/>
      <c r="BP145" s="325"/>
      <c r="BQ145" s="325"/>
      <c r="BR145" s="325"/>
      <c r="BS145" s="325"/>
      <c r="BT145" s="325"/>
      <c r="BU145" s="325"/>
      <c r="BV145" s="325"/>
    </row>
    <row r="146" spans="2:74" x14ac:dyDescent="0.3">
      <c r="B146" s="301"/>
      <c r="C146" s="288"/>
      <c r="D146" s="288"/>
      <c r="E146" s="368"/>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25"/>
      <c r="AY146" s="325"/>
      <c r="AZ146" s="325"/>
      <c r="BA146" s="325"/>
      <c r="BB146" s="325"/>
      <c r="BC146" s="325"/>
      <c r="BD146" s="325"/>
      <c r="BE146" s="325"/>
      <c r="BF146" s="325"/>
      <c r="BG146" s="325"/>
      <c r="BH146" s="325"/>
      <c r="BI146" s="325"/>
      <c r="BJ146" s="325"/>
      <c r="BK146" s="325"/>
      <c r="BL146" s="325"/>
      <c r="BM146" s="325"/>
      <c r="BN146" s="325"/>
      <c r="BO146" s="325"/>
      <c r="BP146" s="325"/>
      <c r="BQ146" s="325"/>
      <c r="BR146" s="325"/>
      <c r="BS146" s="325"/>
      <c r="BT146" s="325"/>
      <c r="BU146" s="325"/>
      <c r="BV146" s="325"/>
    </row>
    <row r="147" spans="2:74" x14ac:dyDescent="0.3">
      <c r="B147" s="301"/>
      <c r="C147" s="288"/>
      <c r="D147" s="288"/>
      <c r="E147" s="368"/>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5"/>
      <c r="AY147" s="325"/>
      <c r="AZ147" s="325"/>
      <c r="BA147" s="325"/>
      <c r="BB147" s="325"/>
      <c r="BC147" s="325"/>
      <c r="BD147" s="325"/>
      <c r="BE147" s="325"/>
      <c r="BF147" s="325"/>
      <c r="BG147" s="325"/>
      <c r="BH147" s="325"/>
      <c r="BI147" s="325"/>
      <c r="BJ147" s="325"/>
      <c r="BK147" s="325"/>
      <c r="BL147" s="325"/>
      <c r="BM147" s="325"/>
      <c r="BN147" s="325"/>
      <c r="BO147" s="325"/>
      <c r="BP147" s="325"/>
      <c r="BQ147" s="325"/>
      <c r="BR147" s="325"/>
      <c r="BS147" s="325"/>
      <c r="BT147" s="325"/>
      <c r="BU147" s="325"/>
      <c r="BV147" s="325"/>
    </row>
    <row r="148" spans="2:74" x14ac:dyDescent="0.3">
      <c r="B148" s="301"/>
      <c r="C148" s="288"/>
      <c r="D148" s="288"/>
      <c r="E148" s="368"/>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c r="AN148" s="325"/>
      <c r="AO148" s="325"/>
      <c r="AP148" s="325"/>
      <c r="AQ148" s="325"/>
      <c r="AR148" s="325"/>
      <c r="AS148" s="325"/>
      <c r="AT148" s="325"/>
      <c r="AU148" s="325"/>
      <c r="AV148" s="325"/>
      <c r="AW148" s="325"/>
      <c r="AX148" s="325"/>
      <c r="AY148" s="325"/>
      <c r="AZ148" s="325"/>
      <c r="BA148" s="325"/>
      <c r="BB148" s="325"/>
      <c r="BC148" s="325"/>
      <c r="BD148" s="325"/>
      <c r="BE148" s="325"/>
      <c r="BF148" s="325"/>
      <c r="BG148" s="325"/>
      <c r="BH148" s="325"/>
      <c r="BI148" s="325"/>
      <c r="BJ148" s="325"/>
      <c r="BK148" s="325"/>
      <c r="BL148" s="325"/>
      <c r="BM148" s="325"/>
      <c r="BN148" s="325"/>
      <c r="BO148" s="325"/>
      <c r="BP148" s="325"/>
      <c r="BQ148" s="325"/>
      <c r="BR148" s="325"/>
      <c r="BS148" s="325"/>
      <c r="BT148" s="325"/>
      <c r="BU148" s="325"/>
      <c r="BV148" s="325"/>
    </row>
    <row r="149" spans="2:74" x14ac:dyDescent="0.3">
      <c r="B149" s="301"/>
      <c r="C149" s="288"/>
      <c r="D149" s="288"/>
      <c r="E149" s="368"/>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5"/>
      <c r="AQ149" s="325"/>
      <c r="AR149" s="325"/>
      <c r="AS149" s="325"/>
      <c r="AT149" s="325"/>
      <c r="AU149" s="325"/>
      <c r="AV149" s="325"/>
      <c r="AW149" s="325"/>
      <c r="AX149" s="325"/>
      <c r="AY149" s="325"/>
      <c r="AZ149" s="325"/>
      <c r="BA149" s="325"/>
      <c r="BB149" s="325"/>
      <c r="BC149" s="325"/>
      <c r="BD149" s="325"/>
      <c r="BE149" s="325"/>
      <c r="BF149" s="325"/>
      <c r="BG149" s="325"/>
      <c r="BH149" s="325"/>
      <c r="BI149" s="325"/>
      <c r="BJ149" s="325"/>
      <c r="BK149" s="325"/>
      <c r="BL149" s="325"/>
      <c r="BM149" s="325"/>
      <c r="BN149" s="325"/>
      <c r="BO149" s="325"/>
      <c r="BP149" s="325"/>
      <c r="BQ149" s="325"/>
      <c r="BR149" s="325"/>
      <c r="BS149" s="325"/>
      <c r="BT149" s="325"/>
      <c r="BU149" s="325"/>
      <c r="BV149" s="325"/>
    </row>
    <row r="150" spans="2:74" x14ac:dyDescent="0.3">
      <c r="B150" s="301"/>
      <c r="C150" s="288"/>
      <c r="D150" s="288"/>
      <c r="E150" s="368"/>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5"/>
      <c r="AW150" s="325"/>
      <c r="AX150" s="325"/>
      <c r="AY150" s="325"/>
      <c r="AZ150" s="325"/>
      <c r="BA150" s="325"/>
      <c r="BB150" s="325"/>
      <c r="BC150" s="325"/>
      <c r="BD150" s="325"/>
      <c r="BE150" s="325"/>
      <c r="BF150" s="325"/>
      <c r="BG150" s="325"/>
      <c r="BH150" s="325"/>
      <c r="BI150" s="325"/>
      <c r="BJ150" s="325"/>
      <c r="BK150" s="325"/>
      <c r="BL150" s="325"/>
      <c r="BM150" s="325"/>
      <c r="BN150" s="325"/>
      <c r="BO150" s="325"/>
      <c r="BP150" s="325"/>
      <c r="BQ150" s="325"/>
      <c r="BR150" s="325"/>
      <c r="BS150" s="325"/>
      <c r="BT150" s="325"/>
      <c r="BU150" s="325"/>
      <c r="BV150" s="325"/>
    </row>
    <row r="151" spans="2:74" x14ac:dyDescent="0.3">
      <c r="B151" s="301"/>
      <c r="C151" s="288"/>
      <c r="D151" s="288"/>
      <c r="E151" s="368"/>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5"/>
      <c r="AW151" s="325"/>
      <c r="AX151" s="325"/>
      <c r="AY151" s="325"/>
      <c r="AZ151" s="325"/>
      <c r="BA151" s="325"/>
      <c r="BB151" s="325"/>
      <c r="BC151" s="325"/>
      <c r="BD151" s="325"/>
      <c r="BE151" s="325"/>
      <c r="BF151" s="325"/>
      <c r="BG151" s="325"/>
      <c r="BH151" s="325"/>
      <c r="BI151" s="325"/>
      <c r="BJ151" s="325"/>
      <c r="BK151" s="325"/>
      <c r="BL151" s="325"/>
      <c r="BM151" s="325"/>
      <c r="BN151" s="325"/>
      <c r="BO151" s="325"/>
      <c r="BP151" s="325"/>
      <c r="BQ151" s="325"/>
      <c r="BR151" s="325"/>
      <c r="BS151" s="325"/>
      <c r="BT151" s="325"/>
      <c r="BU151" s="325"/>
      <c r="BV151" s="325"/>
    </row>
    <row r="152" spans="2:74" x14ac:dyDescent="0.3">
      <c r="B152" s="301"/>
      <c r="C152" s="288"/>
      <c r="D152" s="288"/>
      <c r="E152" s="368"/>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row>
    <row r="153" spans="2:74" x14ac:dyDescent="0.3">
      <c r="B153" s="301"/>
      <c r="C153" s="288"/>
      <c r="D153" s="288"/>
      <c r="E153" s="368"/>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c r="AN153" s="325"/>
      <c r="AO153" s="325"/>
      <c r="AP153" s="325"/>
      <c r="AQ153" s="325"/>
      <c r="AR153" s="325"/>
      <c r="AS153" s="325"/>
      <c r="AT153" s="325"/>
      <c r="AU153" s="325"/>
      <c r="AV153" s="325"/>
      <c r="AW153" s="325"/>
      <c r="AX153" s="325"/>
      <c r="AY153" s="325"/>
      <c r="AZ153" s="325"/>
      <c r="BA153" s="325"/>
      <c r="BB153" s="325"/>
      <c r="BC153" s="325"/>
      <c r="BD153" s="325"/>
      <c r="BE153" s="325"/>
      <c r="BF153" s="325"/>
      <c r="BG153" s="325"/>
      <c r="BH153" s="325"/>
      <c r="BI153" s="325"/>
      <c r="BJ153" s="325"/>
      <c r="BK153" s="325"/>
      <c r="BL153" s="325"/>
      <c r="BM153" s="325"/>
      <c r="BN153" s="325"/>
      <c r="BO153" s="325"/>
      <c r="BP153" s="325"/>
      <c r="BQ153" s="325"/>
      <c r="BR153" s="325"/>
      <c r="BS153" s="325"/>
      <c r="BT153" s="325"/>
      <c r="BU153" s="325"/>
      <c r="BV153" s="325"/>
    </row>
    <row r="154" spans="2:74" x14ac:dyDescent="0.3">
      <c r="B154" s="301"/>
      <c r="C154" s="301"/>
      <c r="D154" s="301"/>
      <c r="E154" s="368"/>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325"/>
      <c r="AL154" s="325"/>
      <c r="AM154" s="325"/>
      <c r="AN154" s="325"/>
      <c r="AO154" s="325"/>
      <c r="AP154" s="325"/>
      <c r="AQ154" s="325"/>
      <c r="AR154" s="325"/>
      <c r="AS154" s="325"/>
      <c r="AT154" s="325"/>
      <c r="AU154" s="325"/>
      <c r="AV154" s="325"/>
      <c r="AW154" s="325"/>
      <c r="AX154" s="325"/>
      <c r="AY154" s="325"/>
      <c r="AZ154" s="325"/>
      <c r="BA154" s="325"/>
      <c r="BB154" s="325"/>
      <c r="BC154" s="325"/>
      <c r="BD154" s="325"/>
      <c r="BE154" s="325"/>
      <c r="BF154" s="325"/>
      <c r="BG154" s="325"/>
      <c r="BH154" s="325"/>
      <c r="BI154" s="325"/>
      <c r="BJ154" s="325"/>
      <c r="BK154" s="325"/>
      <c r="BL154" s="325"/>
      <c r="BM154" s="325"/>
      <c r="BN154" s="325"/>
      <c r="BO154" s="325"/>
      <c r="BP154" s="325"/>
      <c r="BQ154" s="325"/>
      <c r="BR154" s="325"/>
      <c r="BS154" s="325"/>
      <c r="BT154" s="325"/>
      <c r="BU154" s="325"/>
      <c r="BV154" s="325"/>
    </row>
    <row r="155" spans="2:74" x14ac:dyDescent="0.3">
      <c r="B155" s="301"/>
      <c r="C155" s="288"/>
      <c r="D155" s="288"/>
      <c r="E155" s="368"/>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c r="AN155" s="325"/>
      <c r="AO155" s="325"/>
      <c r="AP155" s="325"/>
      <c r="AQ155" s="325"/>
      <c r="AR155" s="325"/>
      <c r="AS155" s="325"/>
      <c r="AT155" s="325"/>
      <c r="AU155" s="325"/>
      <c r="AV155" s="325"/>
      <c r="AW155" s="325"/>
      <c r="AX155" s="325"/>
      <c r="AY155" s="325"/>
      <c r="AZ155" s="325"/>
      <c r="BA155" s="325"/>
      <c r="BB155" s="325"/>
      <c r="BC155" s="325"/>
      <c r="BD155" s="325"/>
      <c r="BE155" s="325"/>
      <c r="BF155" s="325"/>
      <c r="BG155" s="325"/>
      <c r="BH155" s="325"/>
      <c r="BI155" s="325"/>
      <c r="BJ155" s="325"/>
      <c r="BK155" s="325"/>
      <c r="BL155" s="325"/>
      <c r="BM155" s="325"/>
      <c r="BN155" s="325"/>
      <c r="BO155" s="325"/>
      <c r="BP155" s="325"/>
      <c r="BQ155" s="325"/>
      <c r="BR155" s="325"/>
      <c r="BS155" s="325"/>
      <c r="BT155" s="325"/>
      <c r="BU155" s="325"/>
      <c r="BV155" s="325"/>
    </row>
    <row r="156" spans="2:74" x14ac:dyDescent="0.3">
      <c r="B156" s="301"/>
      <c r="C156" s="288"/>
      <c r="D156" s="288"/>
      <c r="E156" s="368"/>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c r="AN156" s="325"/>
      <c r="AO156" s="325"/>
      <c r="AP156" s="325"/>
      <c r="AQ156" s="325"/>
      <c r="AR156" s="325"/>
      <c r="AS156" s="325"/>
      <c r="AT156" s="325"/>
      <c r="AU156" s="325"/>
      <c r="AV156" s="325"/>
      <c r="AW156" s="325"/>
      <c r="AX156" s="325"/>
      <c r="AY156" s="325"/>
      <c r="AZ156" s="325"/>
      <c r="BA156" s="325"/>
      <c r="BB156" s="325"/>
      <c r="BC156" s="325"/>
      <c r="BD156" s="325"/>
      <c r="BE156" s="325"/>
      <c r="BF156" s="325"/>
      <c r="BG156" s="325"/>
      <c r="BH156" s="325"/>
      <c r="BI156" s="325"/>
      <c r="BJ156" s="325"/>
      <c r="BK156" s="325"/>
      <c r="BL156" s="325"/>
      <c r="BM156" s="325"/>
      <c r="BN156" s="325"/>
      <c r="BO156" s="325"/>
      <c r="BP156" s="325"/>
      <c r="BQ156" s="325"/>
      <c r="BR156" s="325"/>
      <c r="BS156" s="325"/>
      <c r="BT156" s="325"/>
      <c r="BU156" s="325"/>
      <c r="BV156" s="325"/>
    </row>
    <row r="157" spans="2:74" x14ac:dyDescent="0.3">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row>
    <row r="158" spans="2:74" x14ac:dyDescent="0.3">
      <c r="B158" s="301"/>
      <c r="C158" s="288"/>
      <c r="D158" s="288"/>
      <c r="E158" s="368"/>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325"/>
      <c r="AZ158" s="325"/>
      <c r="BA158" s="325"/>
      <c r="BB158" s="325"/>
      <c r="BC158" s="325"/>
      <c r="BD158" s="325"/>
      <c r="BE158" s="325"/>
      <c r="BF158" s="325"/>
      <c r="BG158" s="325"/>
      <c r="BH158" s="325"/>
      <c r="BI158" s="325"/>
      <c r="BJ158" s="325"/>
      <c r="BK158" s="325"/>
      <c r="BL158" s="325"/>
      <c r="BM158" s="325"/>
      <c r="BN158" s="325"/>
      <c r="BO158" s="325"/>
      <c r="BP158" s="325"/>
      <c r="BQ158" s="325"/>
      <c r="BR158" s="325"/>
      <c r="BS158" s="325"/>
      <c r="BT158" s="325"/>
      <c r="BU158" s="325"/>
      <c r="BV158" s="325"/>
    </row>
    <row r="159" spans="2:74" x14ac:dyDescent="0.3">
      <c r="B159" s="301"/>
      <c r="C159" s="288"/>
      <c r="D159" s="288"/>
      <c r="E159" s="368"/>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c r="AN159" s="325"/>
      <c r="AO159" s="325"/>
      <c r="AP159" s="325"/>
      <c r="AQ159" s="325"/>
      <c r="AR159" s="325"/>
      <c r="AS159" s="325"/>
      <c r="AT159" s="325"/>
      <c r="AU159" s="325"/>
      <c r="AV159" s="325"/>
      <c r="AW159" s="325"/>
      <c r="AX159" s="325"/>
      <c r="AY159" s="325"/>
      <c r="AZ159" s="325"/>
      <c r="BA159" s="325"/>
      <c r="BB159" s="325"/>
      <c r="BC159" s="325"/>
      <c r="BD159" s="325"/>
      <c r="BE159" s="325"/>
      <c r="BF159" s="325"/>
      <c r="BG159" s="325"/>
      <c r="BH159" s="325"/>
      <c r="BI159" s="325"/>
      <c r="BJ159" s="325"/>
      <c r="BK159" s="325"/>
      <c r="BL159" s="325"/>
      <c r="BM159" s="325"/>
      <c r="BN159" s="325"/>
      <c r="BO159" s="325"/>
      <c r="BP159" s="325"/>
      <c r="BQ159" s="325"/>
      <c r="BR159" s="325"/>
      <c r="BS159" s="325"/>
      <c r="BT159" s="325"/>
      <c r="BU159" s="325"/>
      <c r="BV159" s="325"/>
    </row>
    <row r="160" spans="2:74" x14ac:dyDescent="0.3">
      <c r="B160" s="301"/>
      <c r="C160" s="288"/>
      <c r="D160" s="288"/>
      <c r="E160" s="368"/>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325"/>
      <c r="AL160" s="325"/>
      <c r="AM160" s="325"/>
      <c r="AN160" s="325"/>
      <c r="AO160" s="325"/>
      <c r="AP160" s="325"/>
      <c r="AQ160" s="325"/>
      <c r="AR160" s="325"/>
      <c r="AS160" s="325"/>
      <c r="AT160" s="325"/>
      <c r="AU160" s="325"/>
      <c r="AV160" s="325"/>
      <c r="AW160" s="325"/>
      <c r="AX160" s="325"/>
      <c r="AY160" s="325"/>
      <c r="AZ160" s="325"/>
      <c r="BA160" s="325"/>
      <c r="BB160" s="325"/>
      <c r="BC160" s="325"/>
      <c r="BD160" s="325"/>
      <c r="BE160" s="325"/>
      <c r="BF160" s="325"/>
      <c r="BG160" s="325"/>
      <c r="BH160" s="325"/>
      <c r="BI160" s="325"/>
      <c r="BJ160" s="325"/>
      <c r="BK160" s="325"/>
      <c r="BL160" s="325"/>
      <c r="BM160" s="325"/>
      <c r="BN160" s="325"/>
      <c r="BO160" s="325"/>
      <c r="BP160" s="325"/>
      <c r="BQ160" s="325"/>
      <c r="BR160" s="325"/>
      <c r="BS160" s="325"/>
      <c r="BT160" s="325"/>
      <c r="BU160" s="325"/>
      <c r="BV160" s="325"/>
    </row>
    <row r="161" spans="2:74" x14ac:dyDescent="0.3">
      <c r="B161" s="301"/>
      <c r="C161" s="288"/>
      <c r="D161" s="288"/>
      <c r="E161" s="368"/>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c r="BC161" s="325"/>
      <c r="BD161" s="325"/>
      <c r="BE161" s="325"/>
      <c r="BF161" s="325"/>
      <c r="BG161" s="325"/>
      <c r="BH161" s="325"/>
      <c r="BI161" s="325"/>
      <c r="BJ161" s="325"/>
      <c r="BK161" s="325"/>
      <c r="BL161" s="325"/>
      <c r="BM161" s="325"/>
      <c r="BN161" s="325"/>
      <c r="BO161" s="325"/>
      <c r="BP161" s="325"/>
      <c r="BQ161" s="325"/>
      <c r="BR161" s="325"/>
      <c r="BS161" s="325"/>
      <c r="BT161" s="325"/>
      <c r="BU161" s="325"/>
      <c r="BV161" s="325"/>
    </row>
    <row r="162" spans="2:74" x14ac:dyDescent="0.3">
      <c r="B162" s="301"/>
      <c r="C162" s="288"/>
      <c r="D162" s="288"/>
      <c r="E162" s="368"/>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c r="BC162" s="325"/>
      <c r="BD162" s="325"/>
      <c r="BE162" s="325"/>
      <c r="BF162" s="325"/>
      <c r="BG162" s="325"/>
      <c r="BH162" s="325"/>
      <c r="BI162" s="325"/>
      <c r="BJ162" s="325"/>
      <c r="BK162" s="325"/>
      <c r="BL162" s="325"/>
      <c r="BM162" s="325"/>
      <c r="BN162" s="325"/>
      <c r="BO162" s="325"/>
      <c r="BP162" s="325"/>
      <c r="BQ162" s="325"/>
      <c r="BR162" s="325"/>
      <c r="BS162" s="325"/>
      <c r="BT162" s="325"/>
      <c r="BU162" s="325"/>
      <c r="BV162" s="325"/>
    </row>
    <row r="163" spans="2:74" x14ac:dyDescent="0.3">
      <c r="B163" s="301"/>
      <c r="C163" s="288"/>
      <c r="D163" s="288"/>
      <c r="E163" s="368"/>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5"/>
      <c r="AW163" s="325"/>
      <c r="AX163" s="325"/>
      <c r="AY163" s="325"/>
      <c r="AZ163" s="325"/>
      <c r="BA163" s="325"/>
      <c r="BB163" s="325"/>
      <c r="BC163" s="325"/>
      <c r="BD163" s="325"/>
      <c r="BE163" s="325"/>
      <c r="BF163" s="325"/>
      <c r="BG163" s="325"/>
      <c r="BH163" s="325"/>
      <c r="BI163" s="325"/>
      <c r="BJ163" s="325"/>
      <c r="BK163" s="325"/>
      <c r="BL163" s="325"/>
      <c r="BM163" s="325"/>
      <c r="BN163" s="325"/>
      <c r="BO163" s="325"/>
      <c r="BP163" s="325"/>
      <c r="BQ163" s="325"/>
      <c r="BR163" s="325"/>
      <c r="BS163" s="325"/>
      <c r="BT163" s="325"/>
      <c r="BU163" s="325"/>
      <c r="BV163" s="325"/>
    </row>
    <row r="164" spans="2:74" x14ac:dyDescent="0.3">
      <c r="B164" s="301"/>
      <c r="C164" s="288"/>
      <c r="D164" s="288"/>
      <c r="E164" s="368"/>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row>
    <row r="165" spans="2:74" x14ac:dyDescent="0.3">
      <c r="B165" s="301"/>
      <c r="C165" s="288"/>
      <c r="D165" s="288"/>
      <c r="E165" s="368"/>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5"/>
      <c r="AY165" s="325"/>
      <c r="AZ165" s="325"/>
      <c r="BA165" s="325"/>
      <c r="BB165" s="325"/>
      <c r="BC165" s="325"/>
      <c r="BD165" s="325"/>
      <c r="BE165" s="325"/>
      <c r="BF165" s="325"/>
      <c r="BG165" s="325"/>
      <c r="BH165" s="325"/>
      <c r="BI165" s="325"/>
      <c r="BJ165" s="325"/>
      <c r="BK165" s="325"/>
      <c r="BL165" s="325"/>
      <c r="BM165" s="325"/>
      <c r="BN165" s="325"/>
      <c r="BO165" s="325"/>
      <c r="BP165" s="325"/>
      <c r="BQ165" s="325"/>
      <c r="BR165" s="325"/>
      <c r="BS165" s="325"/>
      <c r="BT165" s="325"/>
      <c r="BU165" s="325"/>
      <c r="BV165" s="325"/>
    </row>
    <row r="166" spans="2:74" x14ac:dyDescent="0.3">
      <c r="B166" s="301"/>
      <c r="C166" s="288"/>
      <c r="D166" s="288"/>
      <c r="E166" s="368"/>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row>
    <row r="167" spans="2:74" x14ac:dyDescent="0.3">
      <c r="B167" s="301"/>
      <c r="C167" s="288"/>
      <c r="D167" s="288"/>
      <c r="E167" s="368"/>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row>
    <row r="168" spans="2:74" x14ac:dyDescent="0.3">
      <c r="B168" s="301"/>
      <c r="C168" s="288"/>
      <c r="D168" s="288"/>
      <c r="E168" s="368"/>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row>
    <row r="169" spans="2:74" x14ac:dyDescent="0.3">
      <c r="B169" s="301"/>
      <c r="C169" s="288"/>
      <c r="D169" s="288"/>
      <c r="E169" s="368"/>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L169" s="325"/>
      <c r="AM169" s="325"/>
      <c r="AN169" s="325"/>
      <c r="AO169" s="325"/>
      <c r="AP169" s="325"/>
      <c r="AQ169" s="325"/>
      <c r="AR169" s="325"/>
      <c r="AS169" s="325"/>
      <c r="AT169" s="325"/>
      <c r="AU169" s="325"/>
      <c r="AV169" s="325"/>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row>
    <row r="170" spans="2:74" x14ac:dyDescent="0.3">
      <c r="B170" s="301"/>
      <c r="C170" s="288"/>
      <c r="D170" s="288"/>
      <c r="E170" s="368"/>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L170" s="325"/>
      <c r="AM170" s="325"/>
      <c r="AN170" s="325"/>
      <c r="AO170" s="325"/>
      <c r="AP170" s="325"/>
      <c r="AQ170" s="325"/>
      <c r="AR170" s="325"/>
      <c r="AS170" s="325"/>
      <c r="AT170" s="325"/>
      <c r="AU170" s="325"/>
      <c r="AV170" s="325"/>
      <c r="AW170" s="325"/>
      <c r="AX170" s="325"/>
      <c r="AY170" s="325"/>
      <c r="AZ170" s="325"/>
      <c r="BA170" s="325"/>
      <c r="BB170" s="325"/>
      <c r="BC170" s="325"/>
      <c r="BD170" s="325"/>
      <c r="BE170" s="325"/>
      <c r="BF170" s="325"/>
      <c r="BG170" s="325"/>
      <c r="BH170" s="325"/>
      <c r="BI170" s="325"/>
      <c r="BJ170" s="325"/>
      <c r="BK170" s="325"/>
      <c r="BL170" s="325"/>
      <c r="BM170" s="325"/>
      <c r="BN170" s="325"/>
      <c r="BO170" s="325"/>
      <c r="BP170" s="325"/>
      <c r="BQ170" s="325"/>
      <c r="BR170" s="325"/>
      <c r="BS170" s="325"/>
      <c r="BT170" s="325"/>
      <c r="BU170" s="325"/>
      <c r="BV170" s="325"/>
    </row>
    <row r="171" spans="2:74" x14ac:dyDescent="0.3">
      <c r="B171" s="301"/>
      <c r="C171" s="288"/>
      <c r="D171" s="288"/>
      <c r="E171" s="368"/>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5"/>
      <c r="BV171" s="325"/>
    </row>
    <row r="172" spans="2:74" x14ac:dyDescent="0.3">
      <c r="B172" s="301"/>
      <c r="C172" s="288"/>
      <c r="D172" s="288"/>
      <c r="E172" s="368"/>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row>
    <row r="173" spans="2:74" x14ac:dyDescent="0.3">
      <c r="B173" s="301"/>
      <c r="C173" s="288"/>
      <c r="D173" s="288"/>
      <c r="E173" s="368"/>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5"/>
      <c r="AO173" s="325"/>
      <c r="AP173" s="325"/>
      <c r="AQ173" s="325"/>
      <c r="AR173" s="325"/>
      <c r="AS173" s="325"/>
      <c r="AT173" s="325"/>
      <c r="AU173" s="325"/>
      <c r="AV173" s="325"/>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row>
    <row r="174" spans="2:74" x14ac:dyDescent="0.3">
      <c r="B174" s="301"/>
      <c r="C174" s="288"/>
      <c r="D174" s="288"/>
      <c r="E174" s="368"/>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c r="BV174" s="325"/>
    </row>
    <row r="175" spans="2:74" x14ac:dyDescent="0.3">
      <c r="B175" s="301"/>
      <c r="C175" s="288"/>
      <c r="D175" s="288"/>
      <c r="E175" s="368"/>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row>
    <row r="176" spans="2:74" x14ac:dyDescent="0.3">
      <c r="B176" s="301"/>
      <c r="C176" s="288"/>
      <c r="D176" s="288"/>
      <c r="E176" s="368"/>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325"/>
      <c r="AO176" s="325"/>
      <c r="AP176" s="325"/>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row>
    <row r="177" spans="2:74" x14ac:dyDescent="0.3">
      <c r="B177" s="301"/>
      <c r="C177" s="301"/>
      <c r="D177" s="301"/>
      <c r="E177" s="368"/>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5"/>
      <c r="AO177" s="325"/>
      <c r="AP177" s="325"/>
      <c r="AQ177" s="325"/>
      <c r="AR177" s="325"/>
      <c r="AS177" s="325"/>
      <c r="AT177" s="325"/>
      <c r="AU177" s="325"/>
      <c r="AV177" s="325"/>
      <c r="AW177" s="325"/>
      <c r="AX177" s="325"/>
      <c r="AY177" s="325"/>
      <c r="AZ177" s="325"/>
      <c r="BA177" s="325"/>
      <c r="BB177" s="325"/>
      <c r="BC177" s="325"/>
      <c r="BD177" s="325"/>
      <c r="BE177" s="325"/>
      <c r="BF177" s="325"/>
      <c r="BG177" s="325"/>
      <c r="BH177" s="325"/>
      <c r="BI177" s="325"/>
      <c r="BJ177" s="325"/>
      <c r="BK177" s="325"/>
      <c r="BL177" s="325"/>
      <c r="BM177" s="325"/>
      <c r="BN177" s="325"/>
      <c r="BO177" s="325"/>
      <c r="BP177" s="325"/>
      <c r="BQ177" s="325"/>
      <c r="BR177" s="325"/>
      <c r="BS177" s="325"/>
      <c r="BT177" s="325"/>
      <c r="BU177" s="325"/>
      <c r="BV177" s="325"/>
    </row>
    <row r="178" spans="2:74" x14ac:dyDescent="0.3">
      <c r="B178" s="301"/>
      <c r="C178" s="288"/>
      <c r="D178" s="288"/>
      <c r="E178" s="368"/>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c r="BD178" s="325"/>
      <c r="BE178" s="325"/>
      <c r="BF178" s="325"/>
      <c r="BG178" s="325"/>
      <c r="BH178" s="325"/>
      <c r="BI178" s="325"/>
      <c r="BJ178" s="325"/>
      <c r="BK178" s="325"/>
      <c r="BL178" s="325"/>
      <c r="BM178" s="325"/>
      <c r="BN178" s="325"/>
      <c r="BO178" s="325"/>
      <c r="BP178" s="325"/>
      <c r="BQ178" s="325"/>
      <c r="BR178" s="325"/>
      <c r="BS178" s="325"/>
      <c r="BT178" s="325"/>
      <c r="BU178" s="325"/>
      <c r="BV178" s="325"/>
    </row>
    <row r="179" spans="2:74" x14ac:dyDescent="0.3">
      <c r="C179" s="288"/>
      <c r="D179" s="288"/>
      <c r="E179" s="368"/>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5"/>
      <c r="AN179" s="325"/>
      <c r="AO179" s="325"/>
      <c r="AP179" s="325"/>
      <c r="AQ179" s="325"/>
      <c r="AR179" s="325"/>
      <c r="AS179" s="325"/>
      <c r="AT179" s="325"/>
      <c r="AU179" s="325"/>
      <c r="AV179" s="325"/>
      <c r="AW179" s="325"/>
      <c r="AX179" s="325"/>
      <c r="AY179" s="325"/>
      <c r="AZ179" s="325"/>
      <c r="BA179" s="325"/>
      <c r="BB179" s="325"/>
      <c r="BC179" s="325"/>
      <c r="BD179" s="325"/>
      <c r="BE179" s="325"/>
      <c r="BF179" s="325"/>
      <c r="BG179" s="325"/>
      <c r="BH179" s="325"/>
      <c r="BI179" s="325"/>
      <c r="BJ179" s="325"/>
      <c r="BK179" s="325"/>
      <c r="BL179" s="325"/>
      <c r="BM179" s="325"/>
      <c r="BN179" s="325"/>
      <c r="BO179" s="325"/>
      <c r="BP179" s="325"/>
      <c r="BQ179" s="325"/>
      <c r="BR179" s="325"/>
      <c r="BS179" s="325"/>
      <c r="BT179" s="325"/>
      <c r="BU179" s="325"/>
      <c r="BV179" s="325"/>
    </row>
    <row r="180" spans="2:74" x14ac:dyDescent="0.3">
      <c r="B180" s="301"/>
      <c r="C180" s="288"/>
      <c r="D180" s="288"/>
      <c r="E180" s="368"/>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25"/>
      <c r="AY180" s="325"/>
      <c r="AZ180" s="325"/>
      <c r="BA180" s="325"/>
      <c r="BB180" s="325"/>
      <c r="BC180" s="325"/>
      <c r="BD180" s="325"/>
      <c r="BE180" s="325"/>
      <c r="BF180" s="325"/>
      <c r="BG180" s="325"/>
      <c r="BH180" s="325"/>
      <c r="BI180" s="325"/>
      <c r="BJ180" s="325"/>
      <c r="BK180" s="325"/>
      <c r="BL180" s="325"/>
      <c r="BM180" s="325"/>
      <c r="BN180" s="325"/>
      <c r="BO180" s="325"/>
      <c r="BP180" s="325"/>
      <c r="BQ180" s="325"/>
      <c r="BR180" s="325"/>
      <c r="BS180" s="325"/>
      <c r="BT180" s="325"/>
      <c r="BU180" s="325"/>
      <c r="BV180" s="325"/>
    </row>
    <row r="181" spans="2:74" x14ac:dyDescent="0.3">
      <c r="B181" s="301"/>
      <c r="C181" s="288"/>
      <c r="D181" s="288"/>
      <c r="E181" s="368"/>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5"/>
      <c r="BR181" s="325"/>
      <c r="BS181" s="325"/>
      <c r="BT181" s="325"/>
      <c r="BU181" s="325"/>
      <c r="BV181" s="325"/>
    </row>
    <row r="182" spans="2:74" x14ac:dyDescent="0.3">
      <c r="B182" s="301"/>
      <c r="C182" s="288"/>
      <c r="D182" s="288"/>
      <c r="E182" s="368"/>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5"/>
      <c r="AO182" s="325"/>
      <c r="AP182" s="325"/>
      <c r="AQ182" s="325"/>
      <c r="AR182" s="325"/>
      <c r="AS182" s="325"/>
      <c r="AT182" s="325"/>
      <c r="AU182" s="325"/>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c r="BS182" s="325"/>
      <c r="BT182" s="325"/>
      <c r="BU182" s="325"/>
      <c r="BV182" s="325"/>
    </row>
    <row r="183" spans="2:74" x14ac:dyDescent="0.3">
      <c r="B183" s="301"/>
      <c r="C183" s="288"/>
      <c r="D183" s="288"/>
      <c r="E183" s="368"/>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5"/>
      <c r="AZ183" s="325"/>
      <c r="BA183" s="325"/>
      <c r="BB183" s="325"/>
      <c r="BC183" s="325"/>
      <c r="BD183" s="325"/>
      <c r="BE183" s="325"/>
      <c r="BF183" s="325"/>
      <c r="BG183" s="325"/>
      <c r="BH183" s="325"/>
      <c r="BI183" s="325"/>
      <c r="BJ183" s="325"/>
      <c r="BK183" s="325"/>
      <c r="BL183" s="325"/>
      <c r="BM183" s="325"/>
      <c r="BN183" s="325"/>
      <c r="BO183" s="325"/>
      <c r="BP183" s="325"/>
      <c r="BQ183" s="325"/>
      <c r="BR183" s="325"/>
      <c r="BS183" s="325"/>
      <c r="BT183" s="325"/>
      <c r="BU183" s="325"/>
      <c r="BV183" s="325"/>
    </row>
    <row r="184" spans="2:74" x14ac:dyDescent="0.3">
      <c r="B184" s="301"/>
      <c r="C184" s="288"/>
      <c r="D184" s="288"/>
      <c r="E184" s="368"/>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325"/>
      <c r="AO184" s="325"/>
      <c r="AP184" s="325"/>
      <c r="AQ184" s="325"/>
      <c r="AR184" s="325"/>
      <c r="AS184" s="325"/>
      <c r="AT184" s="325"/>
      <c r="AU184" s="325"/>
      <c r="AV184" s="325"/>
      <c r="AW184" s="325"/>
      <c r="AX184" s="325"/>
      <c r="AY184" s="325"/>
      <c r="AZ184" s="325"/>
      <c r="BA184" s="325"/>
      <c r="BB184" s="325"/>
      <c r="BC184" s="325"/>
      <c r="BD184" s="325"/>
      <c r="BE184" s="325"/>
      <c r="BF184" s="325"/>
      <c r="BG184" s="325"/>
      <c r="BH184" s="325"/>
      <c r="BI184" s="325"/>
      <c r="BJ184" s="325"/>
      <c r="BK184" s="325"/>
      <c r="BL184" s="325"/>
      <c r="BM184" s="325"/>
      <c r="BN184" s="325"/>
      <c r="BO184" s="325"/>
      <c r="BP184" s="325"/>
      <c r="BQ184" s="325"/>
      <c r="BR184" s="325"/>
      <c r="BS184" s="325"/>
      <c r="BT184" s="325"/>
      <c r="BU184" s="325"/>
      <c r="BV184" s="325"/>
    </row>
    <row r="185" spans="2:74" x14ac:dyDescent="0.3">
      <c r="B185" s="301"/>
      <c r="C185" s="288"/>
      <c r="D185" s="288"/>
      <c r="E185" s="368"/>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row>
    <row r="186" spans="2:74" x14ac:dyDescent="0.3">
      <c r="B186" s="301"/>
      <c r="C186" s="288"/>
      <c r="D186" s="288"/>
      <c r="E186" s="368"/>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5"/>
      <c r="AO186" s="325"/>
      <c r="AP186" s="325"/>
      <c r="AQ186" s="325"/>
      <c r="AR186" s="325"/>
      <c r="AS186" s="325"/>
      <c r="AT186" s="325"/>
      <c r="AU186" s="325"/>
      <c r="AV186" s="325"/>
      <c r="AW186" s="325"/>
      <c r="AX186" s="325"/>
      <c r="AY186" s="325"/>
      <c r="AZ186" s="325"/>
      <c r="BA186" s="325"/>
      <c r="BB186" s="325"/>
      <c r="BC186" s="325"/>
      <c r="BD186" s="325"/>
      <c r="BE186" s="325"/>
      <c r="BF186" s="325"/>
      <c r="BG186" s="325"/>
      <c r="BH186" s="325"/>
      <c r="BI186" s="325"/>
      <c r="BJ186" s="325"/>
      <c r="BK186" s="325"/>
      <c r="BL186" s="325"/>
      <c r="BM186" s="325"/>
      <c r="BN186" s="325"/>
      <c r="BO186" s="325"/>
      <c r="BP186" s="325"/>
      <c r="BQ186" s="325"/>
      <c r="BR186" s="325"/>
      <c r="BS186" s="325"/>
      <c r="BT186" s="325"/>
      <c r="BU186" s="325"/>
      <c r="BV186" s="325"/>
    </row>
    <row r="187" spans="2:74" x14ac:dyDescent="0.3">
      <c r="B187" s="301"/>
      <c r="C187" s="288"/>
      <c r="D187" s="288"/>
      <c r="E187" s="368"/>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c r="BD187" s="325"/>
      <c r="BE187" s="325"/>
      <c r="BF187" s="325"/>
      <c r="BG187" s="325"/>
      <c r="BH187" s="325"/>
      <c r="BI187" s="325"/>
      <c r="BJ187" s="325"/>
      <c r="BK187" s="325"/>
      <c r="BL187" s="325"/>
      <c r="BM187" s="325"/>
      <c r="BN187" s="325"/>
      <c r="BO187" s="325"/>
      <c r="BP187" s="325"/>
      <c r="BQ187" s="325"/>
      <c r="BR187" s="325"/>
      <c r="BS187" s="325"/>
      <c r="BT187" s="325"/>
      <c r="BU187" s="325"/>
      <c r="BV187" s="325"/>
    </row>
    <row r="188" spans="2:74" x14ac:dyDescent="0.3">
      <c r="B188" s="301"/>
      <c r="C188" s="288"/>
      <c r="D188" s="288"/>
      <c r="E188" s="368"/>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325"/>
      <c r="AO188" s="325"/>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25"/>
      <c r="BK188" s="325"/>
      <c r="BL188" s="325"/>
      <c r="BM188" s="325"/>
      <c r="BN188" s="325"/>
      <c r="BO188" s="325"/>
      <c r="BP188" s="325"/>
      <c r="BQ188" s="325"/>
      <c r="BR188" s="325"/>
      <c r="BS188" s="325"/>
      <c r="BT188" s="325"/>
      <c r="BU188" s="325"/>
      <c r="BV188" s="325"/>
    </row>
    <row r="189" spans="2:74" x14ac:dyDescent="0.3">
      <c r="B189" s="301"/>
      <c r="C189" s="301"/>
      <c r="D189" s="301"/>
      <c r="E189" s="368"/>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5"/>
      <c r="AO189" s="325"/>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25"/>
      <c r="BK189" s="325"/>
      <c r="BL189" s="325"/>
      <c r="BM189" s="325"/>
      <c r="BN189" s="325"/>
      <c r="BO189" s="325"/>
      <c r="BP189" s="325"/>
      <c r="BQ189" s="325"/>
      <c r="BR189" s="325"/>
      <c r="BS189" s="325"/>
      <c r="BT189" s="325"/>
      <c r="BU189" s="325"/>
      <c r="BV189" s="325"/>
    </row>
    <row r="190" spans="2:74" x14ac:dyDescent="0.3">
      <c r="B190" s="301"/>
      <c r="C190" s="288"/>
      <c r="D190" s="288"/>
      <c r="E190" s="368"/>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5"/>
      <c r="AY190" s="325"/>
      <c r="AZ190" s="325"/>
      <c r="BA190" s="325"/>
      <c r="BB190" s="325"/>
      <c r="BC190" s="325"/>
      <c r="BD190" s="325"/>
      <c r="BE190" s="325"/>
      <c r="BF190" s="325"/>
      <c r="BG190" s="325"/>
      <c r="BH190" s="325"/>
      <c r="BI190" s="325"/>
      <c r="BJ190" s="325"/>
      <c r="BK190" s="325"/>
      <c r="BL190" s="325"/>
      <c r="BM190" s="325"/>
      <c r="BN190" s="325"/>
      <c r="BO190" s="325"/>
      <c r="BP190" s="325"/>
      <c r="BQ190" s="325"/>
      <c r="BR190" s="325"/>
      <c r="BS190" s="325"/>
      <c r="BT190" s="325"/>
      <c r="BU190" s="325"/>
      <c r="BV190" s="325"/>
    </row>
    <row r="191" spans="2:74" x14ac:dyDescent="0.3">
      <c r="B191" s="301"/>
      <c r="C191" s="288"/>
      <c r="D191" s="288"/>
      <c r="E191" s="368"/>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5"/>
      <c r="AY191" s="325"/>
      <c r="AZ191" s="325"/>
      <c r="BA191" s="325"/>
      <c r="BB191" s="325"/>
      <c r="BC191" s="325"/>
      <c r="BD191" s="325"/>
      <c r="BE191" s="325"/>
      <c r="BF191" s="325"/>
      <c r="BG191" s="325"/>
      <c r="BH191" s="325"/>
      <c r="BI191" s="325"/>
      <c r="BJ191" s="325"/>
      <c r="BK191" s="325"/>
      <c r="BL191" s="325"/>
      <c r="BM191" s="325"/>
      <c r="BN191" s="325"/>
      <c r="BO191" s="325"/>
      <c r="BP191" s="325"/>
      <c r="BQ191" s="325"/>
      <c r="BR191" s="325"/>
      <c r="BS191" s="325"/>
      <c r="BT191" s="325"/>
      <c r="BU191" s="325"/>
      <c r="BV191" s="325"/>
    </row>
    <row r="192" spans="2:74" x14ac:dyDescent="0.3">
      <c r="B192" s="301"/>
      <c r="C192" s="288"/>
      <c r="D192" s="288"/>
      <c r="E192" s="368"/>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row>
    <row r="193" spans="2:74" x14ac:dyDescent="0.3">
      <c r="B193" s="301"/>
      <c r="C193" s="288"/>
      <c r="D193" s="288"/>
      <c r="E193" s="368"/>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row>
    <row r="194" spans="2:74" x14ac:dyDescent="0.3">
      <c r="B194" s="301"/>
      <c r="C194" s="288"/>
      <c r="D194" s="288"/>
      <c r="E194" s="368"/>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25"/>
      <c r="BK194" s="325"/>
      <c r="BL194" s="325"/>
      <c r="BM194" s="325"/>
      <c r="BN194" s="325"/>
      <c r="BO194" s="325"/>
      <c r="BP194" s="325"/>
      <c r="BQ194" s="325"/>
      <c r="BR194" s="325"/>
      <c r="BS194" s="325"/>
      <c r="BT194" s="325"/>
      <c r="BU194" s="325"/>
      <c r="BV194" s="325"/>
    </row>
    <row r="195" spans="2:74" x14ac:dyDescent="0.3">
      <c r="B195" s="301"/>
      <c r="C195" s="288"/>
      <c r="D195" s="288"/>
      <c r="E195" s="368"/>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25"/>
      <c r="BK195" s="325"/>
      <c r="BL195" s="325"/>
      <c r="BM195" s="325"/>
      <c r="BN195" s="325"/>
      <c r="BO195" s="325"/>
      <c r="BP195" s="325"/>
      <c r="BQ195" s="325"/>
      <c r="BR195" s="325"/>
      <c r="BS195" s="325"/>
      <c r="BT195" s="325"/>
      <c r="BU195" s="325"/>
      <c r="BV195" s="325"/>
    </row>
    <row r="196" spans="2:74" x14ac:dyDescent="0.3">
      <c r="B196" s="301"/>
      <c r="C196" s="288"/>
      <c r="D196" s="288"/>
      <c r="E196" s="368"/>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325"/>
      <c r="BJ196" s="325"/>
      <c r="BK196" s="325"/>
      <c r="BL196" s="325"/>
      <c r="BM196" s="325"/>
      <c r="BN196" s="325"/>
      <c r="BO196" s="325"/>
      <c r="BP196" s="325"/>
      <c r="BQ196" s="325"/>
      <c r="BR196" s="325"/>
      <c r="BS196" s="325"/>
      <c r="BT196" s="325"/>
      <c r="BU196" s="325"/>
      <c r="BV196" s="325"/>
    </row>
    <row r="197" spans="2:74" x14ac:dyDescent="0.3">
      <c r="B197" s="301"/>
      <c r="C197" s="288"/>
      <c r="D197" s="288"/>
      <c r="E197" s="368"/>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325"/>
      <c r="BI197" s="325"/>
      <c r="BJ197" s="325"/>
      <c r="BK197" s="325"/>
      <c r="BL197" s="325"/>
      <c r="BM197" s="325"/>
      <c r="BN197" s="325"/>
      <c r="BO197" s="325"/>
      <c r="BP197" s="325"/>
      <c r="BQ197" s="325"/>
      <c r="BR197" s="325"/>
      <c r="BS197" s="325"/>
      <c r="BT197" s="325"/>
      <c r="BU197" s="325"/>
      <c r="BV197" s="325"/>
    </row>
    <row r="198" spans="2:74" x14ac:dyDescent="0.3">
      <c r="B198" s="301"/>
      <c r="C198" s="288"/>
      <c r="D198" s="288"/>
      <c r="E198" s="368"/>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25"/>
      <c r="BJ198" s="325"/>
      <c r="BK198" s="325"/>
      <c r="BL198" s="325"/>
      <c r="BM198" s="325"/>
      <c r="BN198" s="325"/>
      <c r="BO198" s="325"/>
      <c r="BP198" s="325"/>
      <c r="BQ198" s="325"/>
      <c r="BR198" s="325"/>
      <c r="BS198" s="325"/>
      <c r="BT198" s="325"/>
      <c r="BU198" s="325"/>
      <c r="BV198" s="325"/>
    </row>
    <row r="199" spans="2:74" x14ac:dyDescent="0.3">
      <c r="B199" s="301"/>
      <c r="C199" s="288"/>
      <c r="D199" s="288"/>
      <c r="E199" s="368"/>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25"/>
      <c r="BQ199" s="325"/>
      <c r="BR199" s="325"/>
      <c r="BS199" s="325"/>
      <c r="BT199" s="325"/>
      <c r="BU199" s="325"/>
      <c r="BV199" s="325"/>
    </row>
    <row r="200" spans="2:74" x14ac:dyDescent="0.3">
      <c r="B200" s="301"/>
      <c r="C200" s="288"/>
      <c r="D200" s="288"/>
      <c r="E200" s="368"/>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25"/>
      <c r="BJ200" s="325"/>
      <c r="BK200" s="325"/>
      <c r="BL200" s="325"/>
      <c r="BM200" s="325"/>
      <c r="BN200" s="325"/>
      <c r="BO200" s="325"/>
      <c r="BP200" s="325"/>
      <c r="BQ200" s="325"/>
      <c r="BR200" s="325"/>
      <c r="BS200" s="325"/>
      <c r="BT200" s="325"/>
      <c r="BU200" s="325"/>
      <c r="BV200" s="325"/>
    </row>
    <row r="201" spans="2:74" x14ac:dyDescent="0.3">
      <c r="B201" s="301"/>
      <c r="C201" s="288"/>
      <c r="D201" s="288"/>
      <c r="E201" s="368"/>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c r="BC201" s="325"/>
      <c r="BD201" s="325"/>
      <c r="BE201" s="325"/>
      <c r="BF201" s="325"/>
      <c r="BG201" s="325"/>
      <c r="BH201" s="325"/>
      <c r="BI201" s="325"/>
      <c r="BJ201" s="325"/>
      <c r="BK201" s="325"/>
      <c r="BL201" s="325"/>
      <c r="BM201" s="325"/>
      <c r="BN201" s="325"/>
      <c r="BO201" s="325"/>
      <c r="BP201" s="325"/>
      <c r="BQ201" s="325"/>
      <c r="BR201" s="325"/>
      <c r="BS201" s="325"/>
      <c r="BT201" s="325"/>
      <c r="BU201" s="325"/>
      <c r="BV201" s="325"/>
    </row>
    <row r="202" spans="2:74" x14ac:dyDescent="0.3">
      <c r="B202" s="301"/>
      <c r="C202" s="301"/>
      <c r="D202" s="301"/>
      <c r="E202" s="368"/>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325"/>
    </row>
    <row r="203" spans="2:74" x14ac:dyDescent="0.3">
      <c r="B203" s="301"/>
      <c r="C203" s="301"/>
      <c r="D203" s="301"/>
      <c r="E203" s="368"/>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c r="BC203" s="325"/>
      <c r="BD203" s="325"/>
      <c r="BE203" s="325"/>
      <c r="BF203" s="325"/>
      <c r="BG203" s="325"/>
      <c r="BH203" s="325"/>
      <c r="BI203" s="325"/>
      <c r="BJ203" s="325"/>
      <c r="BK203" s="325"/>
      <c r="BL203" s="325"/>
      <c r="BM203" s="325"/>
      <c r="BN203" s="325"/>
      <c r="BO203" s="325"/>
      <c r="BP203" s="325"/>
      <c r="BQ203" s="325"/>
      <c r="BR203" s="325"/>
      <c r="BS203" s="325"/>
      <c r="BT203" s="325"/>
      <c r="BU203" s="325"/>
      <c r="BV203" s="325"/>
    </row>
    <row r="204" spans="2:74" x14ac:dyDescent="0.3">
      <c r="B204" s="301"/>
      <c r="C204" s="288"/>
      <c r="D204" s="288"/>
      <c r="E204" s="368"/>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row>
    <row r="205" spans="2:74" x14ac:dyDescent="0.3">
      <c r="B205" s="301"/>
      <c r="C205" s="288"/>
      <c r="D205" s="288"/>
      <c r="E205" s="368"/>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5"/>
      <c r="BQ205" s="325"/>
      <c r="BR205" s="325"/>
      <c r="BS205" s="325"/>
      <c r="BT205" s="325"/>
      <c r="BU205" s="325"/>
      <c r="BV205" s="325"/>
    </row>
    <row r="206" spans="2:74" x14ac:dyDescent="0.3">
      <c r="B206" s="301"/>
      <c r="C206" s="288"/>
      <c r="D206" s="288"/>
      <c r="E206" s="368"/>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5"/>
      <c r="BS206" s="325"/>
      <c r="BT206" s="325"/>
      <c r="BU206" s="325"/>
      <c r="BV206" s="325"/>
    </row>
    <row r="222" spans="2:74" x14ac:dyDescent="0.3">
      <c r="E222" s="369"/>
      <c r="F222" s="369"/>
      <c r="G222" s="369"/>
      <c r="H222" s="369"/>
      <c r="I222" s="369"/>
      <c r="J222" s="369"/>
      <c r="K222" s="369"/>
      <c r="L222" s="369"/>
      <c r="M222" s="369"/>
      <c r="N222" s="369"/>
      <c r="O222" s="369"/>
      <c r="P222" s="369"/>
      <c r="Q222" s="369"/>
      <c r="R222" s="369"/>
      <c r="S222" s="369"/>
      <c r="T222" s="369"/>
      <c r="U222" s="369"/>
      <c r="V222" s="369"/>
      <c r="W222" s="369"/>
      <c r="X222" s="369"/>
      <c r="Y222" s="369"/>
      <c r="Z222" s="369"/>
      <c r="AA222" s="369"/>
      <c r="AB222" s="369"/>
      <c r="AC222" s="369"/>
      <c r="AD222" s="369"/>
      <c r="AE222" s="369"/>
      <c r="AF222" s="369"/>
      <c r="AG222" s="369"/>
      <c r="AH222" s="369"/>
      <c r="AI222" s="369"/>
      <c r="AJ222" s="369"/>
      <c r="AK222" s="369"/>
      <c r="AL222" s="369"/>
      <c r="AM222" s="369"/>
      <c r="AN222" s="369"/>
      <c r="AO222" s="369"/>
      <c r="AP222" s="369"/>
      <c r="AQ222" s="369"/>
      <c r="AR222" s="369"/>
      <c r="AS222" s="369"/>
      <c r="AT222" s="369"/>
      <c r="AU222" s="369"/>
      <c r="AV222" s="369"/>
      <c r="AW222" s="369"/>
      <c r="AX222" s="369"/>
      <c r="AY222" s="369"/>
      <c r="AZ222" s="369"/>
      <c r="BA222" s="369"/>
      <c r="BB222" s="369"/>
      <c r="BC222" s="369"/>
      <c r="BD222" s="369"/>
      <c r="BE222" s="369"/>
      <c r="BF222" s="369"/>
      <c r="BG222" s="369"/>
      <c r="BH222" s="369"/>
      <c r="BI222" s="369"/>
      <c r="BJ222" s="369"/>
      <c r="BK222" s="369"/>
      <c r="BL222" s="369"/>
      <c r="BM222" s="369"/>
      <c r="BN222" s="369"/>
      <c r="BO222" s="369"/>
      <c r="BP222" s="369"/>
      <c r="BQ222" s="369"/>
      <c r="BR222" s="369"/>
      <c r="BS222" s="369"/>
      <c r="BT222" s="369"/>
      <c r="BU222" s="369"/>
      <c r="BV222" s="369"/>
    </row>
    <row r="223" spans="2:74" x14ac:dyDescent="0.3">
      <c r="B223" s="301"/>
      <c r="C223" s="288"/>
      <c r="D223" s="288"/>
      <c r="E223" s="368"/>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c r="AN223" s="325"/>
      <c r="AO223" s="325"/>
      <c r="AP223" s="325"/>
      <c r="AQ223" s="325"/>
      <c r="AR223" s="325"/>
      <c r="AS223" s="325"/>
      <c r="AT223" s="325"/>
      <c r="AU223" s="325"/>
      <c r="AV223" s="325"/>
      <c r="AW223" s="325"/>
      <c r="AX223" s="325"/>
      <c r="AY223" s="325"/>
      <c r="AZ223" s="325"/>
      <c r="BA223" s="325"/>
      <c r="BB223" s="325"/>
      <c r="BC223" s="325"/>
      <c r="BD223" s="325"/>
      <c r="BE223" s="325"/>
      <c r="BF223" s="325"/>
      <c r="BG223" s="325"/>
      <c r="BH223" s="325"/>
      <c r="BI223" s="325"/>
      <c r="BJ223" s="325"/>
      <c r="BK223" s="325"/>
      <c r="BL223" s="325"/>
      <c r="BM223" s="325"/>
      <c r="BN223" s="325"/>
      <c r="BO223" s="325"/>
      <c r="BP223" s="325"/>
      <c r="BQ223" s="325"/>
      <c r="BR223" s="325"/>
      <c r="BS223" s="325"/>
      <c r="BT223" s="325"/>
      <c r="BU223" s="325"/>
      <c r="BV223" s="325"/>
    </row>
    <row r="224" spans="2:74" x14ac:dyDescent="0.3">
      <c r="B224" s="301"/>
      <c r="C224" s="288"/>
      <c r="D224" s="288"/>
      <c r="E224" s="368"/>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5"/>
      <c r="AY224" s="325"/>
      <c r="AZ224" s="325"/>
      <c r="BA224" s="325"/>
      <c r="BB224" s="325"/>
      <c r="BC224" s="325"/>
      <c r="BD224" s="325"/>
      <c r="BE224" s="325"/>
      <c r="BF224" s="325"/>
      <c r="BG224" s="325"/>
      <c r="BH224" s="325"/>
      <c r="BI224" s="325"/>
      <c r="BJ224" s="325"/>
      <c r="BK224" s="325"/>
      <c r="BL224" s="325"/>
      <c r="BM224" s="325"/>
      <c r="BN224" s="325"/>
      <c r="BO224" s="325"/>
      <c r="BP224" s="325"/>
      <c r="BQ224" s="325"/>
      <c r="BR224" s="325"/>
      <c r="BS224" s="325"/>
      <c r="BT224" s="325"/>
      <c r="BU224" s="325"/>
      <c r="BV224" s="325"/>
    </row>
    <row r="225" spans="2:74" x14ac:dyDescent="0.3">
      <c r="B225" s="301"/>
      <c r="C225" s="288"/>
      <c r="D225" s="288"/>
      <c r="E225" s="368"/>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325"/>
      <c r="BG225" s="325"/>
      <c r="BH225" s="325"/>
      <c r="BI225" s="325"/>
      <c r="BJ225" s="325"/>
      <c r="BK225" s="325"/>
      <c r="BL225" s="325"/>
      <c r="BM225" s="325"/>
      <c r="BN225" s="325"/>
      <c r="BO225" s="325"/>
      <c r="BP225" s="325"/>
      <c r="BQ225" s="325"/>
      <c r="BR225" s="325"/>
      <c r="BS225" s="325"/>
      <c r="BT225" s="325"/>
      <c r="BU225" s="325"/>
      <c r="BV225" s="325"/>
    </row>
    <row r="226" spans="2:74" x14ac:dyDescent="0.3">
      <c r="B226" s="301"/>
      <c r="C226" s="288"/>
      <c r="D226" s="288"/>
      <c r="E226" s="368"/>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5"/>
      <c r="BI226" s="325"/>
      <c r="BJ226" s="325"/>
      <c r="BK226" s="325"/>
      <c r="BL226" s="325"/>
      <c r="BM226" s="325"/>
      <c r="BN226" s="325"/>
      <c r="BO226" s="325"/>
      <c r="BP226" s="325"/>
      <c r="BQ226" s="325"/>
      <c r="BR226" s="325"/>
      <c r="BS226" s="325"/>
      <c r="BT226" s="325"/>
      <c r="BU226" s="325"/>
      <c r="BV226" s="325"/>
    </row>
    <row r="227" spans="2:74" x14ac:dyDescent="0.3">
      <c r="B227" s="301"/>
      <c r="C227" s="288"/>
      <c r="D227" s="288"/>
      <c r="E227" s="368"/>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row>
    <row r="228" spans="2:74" x14ac:dyDescent="0.3">
      <c r="B228" s="301"/>
      <c r="C228" s="288"/>
      <c r="D228" s="288"/>
      <c r="E228" s="368"/>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row>
    <row r="229" spans="2:74" x14ac:dyDescent="0.3">
      <c r="B229" s="301"/>
      <c r="C229" s="288"/>
      <c r="D229" s="288"/>
      <c r="E229" s="368"/>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325"/>
    </row>
    <row r="230" spans="2:74" x14ac:dyDescent="0.3">
      <c r="B230" s="301"/>
      <c r="C230" s="288"/>
      <c r="D230" s="288"/>
      <c r="E230" s="368"/>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row>
    <row r="231" spans="2:74" x14ac:dyDescent="0.3">
      <c r="B231" s="301"/>
      <c r="C231" s="288"/>
      <c r="D231" s="288"/>
      <c r="E231" s="368"/>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row>
    <row r="232" spans="2:74" x14ac:dyDescent="0.3">
      <c r="B232" s="301"/>
      <c r="C232" s="288"/>
      <c r="D232" s="288"/>
      <c r="E232" s="368"/>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row>
    <row r="233" spans="2:74" x14ac:dyDescent="0.3">
      <c r="B233" s="301"/>
      <c r="C233" s="288"/>
      <c r="D233" s="288"/>
      <c r="E233" s="368"/>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row>
    <row r="234" spans="2:74" x14ac:dyDescent="0.3">
      <c r="B234" s="301"/>
      <c r="C234" s="288"/>
      <c r="D234" s="288"/>
      <c r="E234" s="368"/>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325"/>
      <c r="AD234" s="325"/>
      <c r="AE234" s="325"/>
      <c r="AF234" s="325"/>
      <c r="AG234" s="325"/>
      <c r="AH234" s="325"/>
      <c r="AI234" s="325"/>
      <c r="AJ234" s="325"/>
      <c r="AK234" s="325"/>
      <c r="AL234" s="325"/>
      <c r="AM234" s="325"/>
      <c r="AN234" s="325"/>
      <c r="AO234" s="325"/>
      <c r="AP234" s="325"/>
      <c r="AQ234" s="325"/>
      <c r="AR234" s="325"/>
      <c r="AS234" s="325"/>
      <c r="AT234" s="325"/>
      <c r="AU234" s="325"/>
      <c r="AV234" s="325"/>
      <c r="AW234" s="325"/>
      <c r="AX234" s="325"/>
      <c r="AY234" s="325"/>
      <c r="AZ234" s="325"/>
      <c r="BA234" s="325"/>
      <c r="BB234" s="325"/>
      <c r="BC234" s="325"/>
      <c r="BD234" s="325"/>
      <c r="BE234" s="325"/>
      <c r="BF234" s="325"/>
      <c r="BG234" s="325"/>
      <c r="BH234" s="325"/>
      <c r="BI234" s="325"/>
      <c r="BJ234" s="325"/>
      <c r="BK234" s="325"/>
      <c r="BL234" s="325"/>
      <c r="BM234" s="325"/>
      <c r="BN234" s="325"/>
      <c r="BO234" s="325"/>
      <c r="BP234" s="325"/>
      <c r="BQ234" s="325"/>
      <c r="BR234" s="325"/>
      <c r="BS234" s="325"/>
      <c r="BT234" s="325"/>
      <c r="BU234" s="325"/>
      <c r="BV234" s="325"/>
    </row>
    <row r="235" spans="2:74" x14ac:dyDescent="0.3">
      <c r="B235" s="301"/>
      <c r="C235" s="288"/>
      <c r="D235" s="288"/>
      <c r="E235" s="368"/>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c r="AG235" s="325"/>
      <c r="AH235" s="325"/>
      <c r="AI235" s="325"/>
      <c r="AJ235" s="325"/>
      <c r="AK235" s="325"/>
      <c r="AL235" s="325"/>
      <c r="AM235" s="325"/>
      <c r="AN235" s="325"/>
      <c r="AO235" s="325"/>
      <c r="AP235" s="325"/>
      <c r="AQ235" s="325"/>
      <c r="AR235" s="325"/>
      <c r="AS235" s="325"/>
      <c r="AT235" s="325"/>
      <c r="AU235" s="325"/>
      <c r="AV235" s="325"/>
      <c r="AW235" s="325"/>
      <c r="AX235" s="325"/>
      <c r="AY235" s="325"/>
      <c r="AZ235" s="325"/>
      <c r="BA235" s="325"/>
      <c r="BB235" s="325"/>
      <c r="BC235" s="325"/>
      <c r="BD235" s="325"/>
      <c r="BE235" s="325"/>
      <c r="BF235" s="325"/>
      <c r="BG235" s="325"/>
      <c r="BH235" s="325"/>
      <c r="BI235" s="325"/>
      <c r="BJ235" s="325"/>
      <c r="BK235" s="325"/>
      <c r="BL235" s="325"/>
      <c r="BM235" s="325"/>
      <c r="BN235" s="325"/>
      <c r="BO235" s="325"/>
      <c r="BP235" s="325"/>
      <c r="BQ235" s="325"/>
      <c r="BR235" s="325"/>
      <c r="BS235" s="325"/>
      <c r="BT235" s="325"/>
      <c r="BU235" s="325"/>
      <c r="BV235" s="325"/>
    </row>
    <row r="236" spans="2:74" x14ac:dyDescent="0.3">
      <c r="B236" s="301"/>
      <c r="C236" s="288"/>
      <c r="D236" s="288"/>
      <c r="E236" s="368"/>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c r="AG236" s="325"/>
      <c r="AH236" s="325"/>
      <c r="AI236" s="325"/>
      <c r="AJ236" s="325"/>
      <c r="AK236" s="325"/>
      <c r="AL236" s="325"/>
      <c r="AM236" s="325"/>
      <c r="AN236" s="325"/>
      <c r="AO236" s="325"/>
      <c r="AP236" s="325"/>
      <c r="AQ236" s="325"/>
      <c r="AR236" s="325"/>
      <c r="AS236" s="325"/>
      <c r="AT236" s="325"/>
      <c r="AU236" s="325"/>
      <c r="AV236" s="325"/>
      <c r="AW236" s="325"/>
      <c r="AX236" s="325"/>
      <c r="AY236" s="325"/>
      <c r="AZ236" s="325"/>
      <c r="BA236" s="325"/>
      <c r="BB236" s="325"/>
      <c r="BC236" s="325"/>
      <c r="BD236" s="325"/>
      <c r="BE236" s="325"/>
      <c r="BF236" s="325"/>
      <c r="BG236" s="325"/>
      <c r="BH236" s="325"/>
      <c r="BI236" s="325"/>
      <c r="BJ236" s="325"/>
      <c r="BK236" s="325"/>
      <c r="BL236" s="325"/>
      <c r="BM236" s="325"/>
      <c r="BN236" s="325"/>
      <c r="BO236" s="325"/>
      <c r="BP236" s="325"/>
      <c r="BQ236" s="325"/>
      <c r="BR236" s="325"/>
      <c r="BS236" s="325"/>
      <c r="BT236" s="325"/>
      <c r="BU236" s="325"/>
      <c r="BV236" s="325"/>
    </row>
    <row r="237" spans="2:74" x14ac:dyDescent="0.3">
      <c r="B237" s="301"/>
      <c r="C237" s="288"/>
      <c r="D237" s="288"/>
      <c r="E237" s="368"/>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5"/>
      <c r="AY237" s="325"/>
      <c r="AZ237" s="325"/>
      <c r="BA237" s="325"/>
      <c r="BB237" s="325"/>
      <c r="BC237" s="325"/>
      <c r="BD237" s="325"/>
      <c r="BE237" s="325"/>
      <c r="BF237" s="325"/>
      <c r="BG237" s="325"/>
      <c r="BH237" s="325"/>
      <c r="BI237" s="325"/>
      <c r="BJ237" s="325"/>
      <c r="BK237" s="325"/>
      <c r="BL237" s="325"/>
      <c r="BM237" s="325"/>
      <c r="BN237" s="325"/>
      <c r="BO237" s="325"/>
      <c r="BP237" s="325"/>
      <c r="BQ237" s="325"/>
      <c r="BR237" s="325"/>
      <c r="BS237" s="325"/>
      <c r="BT237" s="325"/>
      <c r="BU237" s="325"/>
      <c r="BV237" s="325"/>
    </row>
    <row r="238" spans="2:74" x14ac:dyDescent="0.3">
      <c r="B238" s="301"/>
      <c r="C238" s="288"/>
      <c r="D238" s="288"/>
      <c r="E238" s="368"/>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5"/>
      <c r="BI238" s="325"/>
      <c r="BJ238" s="325"/>
      <c r="BK238" s="325"/>
      <c r="BL238" s="325"/>
      <c r="BM238" s="325"/>
      <c r="BN238" s="325"/>
      <c r="BO238" s="325"/>
      <c r="BP238" s="325"/>
      <c r="BQ238" s="325"/>
      <c r="BR238" s="325"/>
      <c r="BS238" s="325"/>
      <c r="BT238" s="325"/>
      <c r="BU238" s="325"/>
      <c r="BV238" s="325"/>
    </row>
    <row r="239" spans="2:74" x14ac:dyDescent="0.3">
      <c r="B239" s="301"/>
      <c r="C239" s="288"/>
      <c r="D239" s="288"/>
      <c r="E239" s="368"/>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row>
    <row r="240" spans="2:74" x14ac:dyDescent="0.3">
      <c r="B240" s="301"/>
      <c r="C240" s="288"/>
      <c r="D240" s="288"/>
      <c r="E240" s="368"/>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row>
    <row r="241" spans="2:74" x14ac:dyDescent="0.3">
      <c r="B241" s="301"/>
      <c r="C241" s="288"/>
      <c r="D241" s="288"/>
      <c r="E241" s="368"/>
      <c r="F241" s="325"/>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c r="AG241" s="325"/>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row>
    <row r="242" spans="2:74" x14ac:dyDescent="0.3">
      <c r="B242" s="301"/>
      <c r="C242" s="288"/>
      <c r="D242" s="288"/>
      <c r="E242" s="368"/>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row>
    <row r="243" spans="2:74" x14ac:dyDescent="0.3">
      <c r="B243" s="301"/>
      <c r="C243" s="288"/>
      <c r="D243" s="288"/>
      <c r="E243" s="368"/>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c r="AG243" s="325"/>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325"/>
      <c r="BL243" s="325"/>
      <c r="BM243" s="325"/>
      <c r="BN243" s="325"/>
      <c r="BO243" s="325"/>
      <c r="BP243" s="325"/>
      <c r="BQ243" s="325"/>
      <c r="BR243" s="325"/>
      <c r="BS243" s="325"/>
      <c r="BT243" s="325"/>
      <c r="BU243" s="325"/>
      <c r="BV243" s="325"/>
    </row>
    <row r="244" spans="2:74" x14ac:dyDescent="0.3">
      <c r="B244" s="301"/>
      <c r="C244" s="288"/>
      <c r="D244" s="288"/>
      <c r="E244" s="368"/>
      <c r="F244" s="325"/>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c r="AD244" s="325"/>
      <c r="AE244" s="325"/>
      <c r="AF244" s="325"/>
      <c r="AG244" s="325"/>
      <c r="AH244" s="325"/>
      <c r="AI244" s="325"/>
      <c r="AJ244" s="325"/>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325"/>
      <c r="BG244" s="325"/>
      <c r="BH244" s="325"/>
      <c r="BI244" s="325"/>
      <c r="BJ244" s="325"/>
      <c r="BK244" s="325"/>
      <c r="BL244" s="325"/>
      <c r="BM244" s="325"/>
      <c r="BN244" s="325"/>
      <c r="BO244" s="325"/>
      <c r="BP244" s="325"/>
      <c r="BQ244" s="325"/>
      <c r="BR244" s="325"/>
      <c r="BS244" s="325"/>
      <c r="BT244" s="325"/>
      <c r="BU244" s="325"/>
      <c r="BV244" s="325"/>
    </row>
    <row r="245" spans="2:74" x14ac:dyDescent="0.3">
      <c r="B245" s="301"/>
      <c r="C245" s="288"/>
      <c r="D245" s="288"/>
      <c r="E245" s="368"/>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c r="AG245" s="325"/>
      <c r="AH245" s="325"/>
      <c r="AI245" s="325"/>
      <c r="AJ245" s="325"/>
      <c r="AK245" s="325"/>
      <c r="AL245" s="325"/>
      <c r="AM245" s="325"/>
      <c r="AN245" s="325"/>
      <c r="AO245" s="325"/>
      <c r="AP245" s="325"/>
      <c r="AQ245" s="325"/>
      <c r="AR245" s="325"/>
      <c r="AS245" s="325"/>
      <c r="AT245" s="325"/>
      <c r="AU245" s="325"/>
      <c r="AV245" s="325"/>
      <c r="AW245" s="325"/>
      <c r="AX245" s="325"/>
      <c r="AY245" s="325"/>
      <c r="AZ245" s="325"/>
      <c r="BA245" s="325"/>
      <c r="BB245" s="325"/>
      <c r="BC245" s="325"/>
      <c r="BD245" s="325"/>
      <c r="BE245" s="325"/>
      <c r="BF245" s="325"/>
      <c r="BG245" s="325"/>
      <c r="BH245" s="325"/>
      <c r="BI245" s="325"/>
      <c r="BJ245" s="325"/>
      <c r="BK245" s="325"/>
      <c r="BL245" s="325"/>
      <c r="BM245" s="325"/>
      <c r="BN245" s="325"/>
      <c r="BO245" s="325"/>
      <c r="BP245" s="325"/>
      <c r="BQ245" s="325"/>
      <c r="BR245" s="325"/>
      <c r="BS245" s="325"/>
      <c r="BT245" s="325"/>
      <c r="BU245" s="325"/>
      <c r="BV245" s="325"/>
    </row>
    <row r="246" spans="2:74" x14ac:dyDescent="0.3">
      <c r="B246" s="301"/>
      <c r="C246" s="288"/>
      <c r="D246" s="288"/>
      <c r="E246" s="368"/>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c r="AG246" s="325"/>
      <c r="AH246" s="325"/>
      <c r="AI246" s="325"/>
      <c r="AJ246" s="325"/>
      <c r="AK246" s="325"/>
      <c r="AL246" s="325"/>
      <c r="AM246" s="325"/>
      <c r="AN246" s="325"/>
      <c r="AO246" s="325"/>
      <c r="AP246" s="325"/>
      <c r="AQ246" s="325"/>
      <c r="AR246" s="325"/>
      <c r="AS246" s="325"/>
      <c r="AT246" s="325"/>
      <c r="AU246" s="325"/>
      <c r="AV246" s="325"/>
      <c r="AW246" s="325"/>
      <c r="AX246" s="325"/>
      <c r="AY246" s="325"/>
      <c r="AZ246" s="325"/>
      <c r="BA246" s="325"/>
      <c r="BB246" s="325"/>
      <c r="BC246" s="325"/>
      <c r="BD246" s="325"/>
      <c r="BE246" s="325"/>
      <c r="BF246" s="325"/>
      <c r="BG246" s="325"/>
      <c r="BH246" s="325"/>
      <c r="BI246" s="325"/>
      <c r="BJ246" s="325"/>
      <c r="BK246" s="325"/>
      <c r="BL246" s="325"/>
      <c r="BM246" s="325"/>
      <c r="BN246" s="325"/>
      <c r="BO246" s="325"/>
      <c r="BP246" s="325"/>
      <c r="BQ246" s="325"/>
      <c r="BR246" s="325"/>
      <c r="BS246" s="325"/>
      <c r="BT246" s="325"/>
      <c r="BU246" s="325"/>
      <c r="BV246" s="325"/>
    </row>
    <row r="247" spans="2:74" x14ac:dyDescent="0.3">
      <c r="B247" s="301"/>
      <c r="C247" s="288"/>
      <c r="D247" s="288"/>
      <c r="E247" s="368"/>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5"/>
      <c r="AI247" s="325"/>
      <c r="AJ247" s="325"/>
      <c r="AK247" s="325"/>
      <c r="AL247" s="325"/>
      <c r="AM247" s="325"/>
      <c r="AN247" s="325"/>
      <c r="AO247" s="325"/>
      <c r="AP247" s="325"/>
      <c r="AQ247" s="325"/>
      <c r="AR247" s="325"/>
      <c r="AS247" s="325"/>
      <c r="AT247" s="325"/>
      <c r="AU247" s="325"/>
      <c r="AV247" s="325"/>
      <c r="AW247" s="325"/>
      <c r="AX247" s="325"/>
      <c r="AY247" s="325"/>
      <c r="AZ247" s="325"/>
      <c r="BA247" s="325"/>
      <c r="BB247" s="325"/>
      <c r="BC247" s="325"/>
      <c r="BD247" s="325"/>
      <c r="BE247" s="325"/>
      <c r="BF247" s="325"/>
      <c r="BG247" s="325"/>
      <c r="BH247" s="325"/>
      <c r="BI247" s="325"/>
      <c r="BJ247" s="325"/>
      <c r="BK247" s="325"/>
      <c r="BL247" s="325"/>
      <c r="BM247" s="325"/>
      <c r="BN247" s="325"/>
      <c r="BO247" s="325"/>
      <c r="BP247" s="325"/>
      <c r="BQ247" s="325"/>
      <c r="BR247" s="325"/>
      <c r="BS247" s="325"/>
      <c r="BT247" s="325"/>
      <c r="BU247" s="325"/>
      <c r="BV247" s="325"/>
    </row>
    <row r="248" spans="2:74" x14ac:dyDescent="0.3">
      <c r="B248" s="301"/>
      <c r="C248" s="288"/>
      <c r="D248" s="288"/>
      <c r="E248" s="368"/>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c r="AG248" s="325"/>
      <c r="AH248" s="325"/>
      <c r="AI248" s="325"/>
      <c r="AJ248" s="325"/>
      <c r="AK248" s="325"/>
      <c r="AL248" s="325"/>
      <c r="AM248" s="325"/>
      <c r="AN248" s="325"/>
      <c r="AO248" s="325"/>
      <c r="AP248" s="325"/>
      <c r="AQ248" s="325"/>
      <c r="AR248" s="325"/>
      <c r="AS248" s="325"/>
      <c r="AT248" s="325"/>
      <c r="AU248" s="325"/>
      <c r="AV248" s="325"/>
      <c r="AW248" s="325"/>
      <c r="AX248" s="325"/>
      <c r="AY248" s="325"/>
      <c r="AZ248" s="325"/>
      <c r="BA248" s="325"/>
      <c r="BB248" s="325"/>
      <c r="BC248" s="325"/>
      <c r="BD248" s="325"/>
      <c r="BE248" s="325"/>
      <c r="BF248" s="325"/>
      <c r="BG248" s="325"/>
      <c r="BH248" s="325"/>
      <c r="BI248" s="325"/>
      <c r="BJ248" s="325"/>
      <c r="BK248" s="325"/>
      <c r="BL248" s="325"/>
      <c r="BM248" s="325"/>
      <c r="BN248" s="325"/>
      <c r="BO248" s="325"/>
      <c r="BP248" s="325"/>
      <c r="BQ248" s="325"/>
      <c r="BR248" s="325"/>
      <c r="BS248" s="325"/>
      <c r="BT248" s="325"/>
      <c r="BU248" s="325"/>
      <c r="BV248" s="325"/>
    </row>
    <row r="249" spans="2:74" x14ac:dyDescent="0.3">
      <c r="B249" s="301"/>
      <c r="C249" s="288"/>
      <c r="D249" s="288"/>
      <c r="E249" s="368"/>
      <c r="F249" s="325"/>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c r="BD249" s="325"/>
      <c r="BE249" s="325"/>
      <c r="BF249" s="325"/>
      <c r="BG249" s="325"/>
      <c r="BH249" s="325"/>
      <c r="BI249" s="325"/>
      <c r="BJ249" s="325"/>
      <c r="BK249" s="325"/>
      <c r="BL249" s="325"/>
      <c r="BM249" s="325"/>
      <c r="BN249" s="325"/>
      <c r="BO249" s="325"/>
      <c r="BP249" s="325"/>
      <c r="BQ249" s="325"/>
      <c r="BR249" s="325"/>
      <c r="BS249" s="325"/>
      <c r="BT249" s="325"/>
      <c r="BU249" s="325"/>
      <c r="BV249" s="325"/>
    </row>
    <row r="250" spans="2:74" x14ac:dyDescent="0.3">
      <c r="B250" s="301"/>
      <c r="C250" s="288"/>
      <c r="D250" s="288"/>
      <c r="E250" s="368"/>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5"/>
      <c r="AY250" s="325"/>
      <c r="AZ250" s="325"/>
      <c r="BA250" s="325"/>
      <c r="BB250" s="325"/>
      <c r="BC250" s="325"/>
      <c r="BD250" s="325"/>
      <c r="BE250" s="325"/>
      <c r="BF250" s="325"/>
      <c r="BG250" s="325"/>
      <c r="BH250" s="325"/>
      <c r="BI250" s="325"/>
      <c r="BJ250" s="325"/>
      <c r="BK250" s="325"/>
      <c r="BL250" s="325"/>
      <c r="BM250" s="325"/>
      <c r="BN250" s="325"/>
      <c r="BO250" s="325"/>
      <c r="BP250" s="325"/>
      <c r="BQ250" s="325"/>
      <c r="BR250" s="325"/>
      <c r="BS250" s="325"/>
      <c r="BT250" s="325"/>
      <c r="BU250" s="325"/>
      <c r="BV250" s="325"/>
    </row>
    <row r="251" spans="2:74" x14ac:dyDescent="0.3">
      <c r="B251" s="301"/>
      <c r="C251" s="288"/>
      <c r="D251" s="288"/>
      <c r="E251" s="368"/>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5"/>
      <c r="BC251" s="325"/>
      <c r="BD251" s="325"/>
      <c r="BE251" s="325"/>
      <c r="BF251" s="325"/>
      <c r="BG251" s="325"/>
      <c r="BH251" s="325"/>
      <c r="BI251" s="325"/>
      <c r="BJ251" s="325"/>
      <c r="BK251" s="325"/>
      <c r="BL251" s="325"/>
      <c r="BM251" s="325"/>
      <c r="BN251" s="325"/>
      <c r="BO251" s="325"/>
      <c r="BP251" s="325"/>
      <c r="BQ251" s="325"/>
      <c r="BR251" s="325"/>
      <c r="BS251" s="325"/>
      <c r="BT251" s="325"/>
      <c r="BU251" s="325"/>
      <c r="BV251" s="325"/>
    </row>
    <row r="252" spans="2:74" x14ac:dyDescent="0.3">
      <c r="B252" s="301"/>
      <c r="C252" s="288"/>
      <c r="D252" s="288"/>
      <c r="E252" s="368"/>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c r="AG252" s="325"/>
      <c r="AH252" s="325"/>
      <c r="AI252" s="325"/>
      <c r="AJ252" s="325"/>
      <c r="AK252" s="325"/>
      <c r="AL252" s="325"/>
      <c r="AM252" s="325"/>
      <c r="AN252" s="325"/>
      <c r="AO252" s="325"/>
      <c r="AP252" s="325"/>
      <c r="AQ252" s="325"/>
      <c r="AR252" s="325"/>
      <c r="AS252" s="325"/>
      <c r="AT252" s="325"/>
      <c r="AU252" s="325"/>
      <c r="AV252" s="325"/>
      <c r="AW252" s="325"/>
      <c r="AX252" s="325"/>
      <c r="AY252" s="325"/>
      <c r="AZ252" s="325"/>
      <c r="BA252" s="325"/>
      <c r="BB252" s="325"/>
      <c r="BC252" s="325"/>
      <c r="BD252" s="325"/>
      <c r="BE252" s="325"/>
      <c r="BF252" s="325"/>
      <c r="BG252" s="325"/>
      <c r="BH252" s="325"/>
      <c r="BI252" s="325"/>
      <c r="BJ252" s="325"/>
      <c r="BK252" s="325"/>
      <c r="BL252" s="325"/>
      <c r="BM252" s="325"/>
      <c r="BN252" s="325"/>
      <c r="BO252" s="325"/>
      <c r="BP252" s="325"/>
      <c r="BQ252" s="325"/>
      <c r="BR252" s="325"/>
      <c r="BS252" s="325"/>
      <c r="BT252" s="325"/>
      <c r="BU252" s="325"/>
      <c r="BV252" s="325"/>
    </row>
    <row r="253" spans="2:74" x14ac:dyDescent="0.3">
      <c r="B253" s="301"/>
      <c r="C253" s="288"/>
      <c r="D253" s="288"/>
      <c r="E253" s="368"/>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row>
    <row r="254" spans="2:74" x14ac:dyDescent="0.3">
      <c r="B254" s="301"/>
      <c r="C254" s="288"/>
      <c r="D254" s="288"/>
      <c r="E254" s="368"/>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row>
    <row r="255" spans="2:74" x14ac:dyDescent="0.3">
      <c r="B255" s="301"/>
      <c r="C255" s="288"/>
      <c r="D255" s="288"/>
      <c r="E255" s="368"/>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5"/>
      <c r="BQ255" s="325"/>
      <c r="BR255" s="325"/>
      <c r="BS255" s="325"/>
      <c r="BT255" s="325"/>
      <c r="BU255" s="325"/>
      <c r="BV255" s="325"/>
    </row>
    <row r="256" spans="2:74" x14ac:dyDescent="0.3">
      <c r="B256" s="301"/>
      <c r="C256" s="288"/>
      <c r="D256" s="288"/>
      <c r="E256" s="368"/>
      <c r="F256" s="325"/>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c r="AD256" s="325"/>
      <c r="AE256" s="325"/>
      <c r="AF256" s="325"/>
      <c r="AG256" s="325"/>
      <c r="AH256" s="325"/>
      <c r="AI256" s="325"/>
      <c r="AJ256" s="325"/>
      <c r="AK256" s="325"/>
      <c r="AL256" s="325"/>
      <c r="AM256" s="325"/>
      <c r="AN256" s="325"/>
      <c r="AO256" s="325"/>
      <c r="AP256" s="325"/>
      <c r="AQ256" s="325"/>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5"/>
      <c r="BQ256" s="325"/>
      <c r="BR256" s="325"/>
      <c r="BS256" s="325"/>
      <c r="BT256" s="325"/>
      <c r="BU256" s="325"/>
      <c r="BV256" s="325"/>
    </row>
    <row r="257" spans="2:74" x14ac:dyDescent="0.3">
      <c r="B257" s="301"/>
      <c r="C257" s="288"/>
      <c r="D257" s="288"/>
      <c r="E257" s="368"/>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c r="AD257" s="325"/>
      <c r="AE257" s="325"/>
      <c r="AF257" s="325"/>
      <c r="AG257" s="325"/>
      <c r="AH257" s="325"/>
      <c r="AI257" s="325"/>
      <c r="AJ257" s="325"/>
      <c r="AK257" s="325"/>
      <c r="AL257" s="325"/>
      <c r="AM257" s="325"/>
      <c r="AN257" s="325"/>
      <c r="AO257" s="325"/>
      <c r="AP257" s="325"/>
      <c r="AQ257" s="325"/>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5"/>
      <c r="BQ257" s="325"/>
      <c r="BR257" s="325"/>
      <c r="BS257" s="325"/>
      <c r="BT257" s="325"/>
      <c r="BU257" s="325"/>
      <c r="BV257" s="325"/>
    </row>
    <row r="258" spans="2:74" x14ac:dyDescent="0.3">
      <c r="B258" s="301"/>
      <c r="C258" s="288"/>
      <c r="D258" s="288"/>
      <c r="E258" s="368"/>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c r="AG258" s="325"/>
      <c r="AH258" s="325"/>
      <c r="AI258" s="325"/>
      <c r="AJ258" s="325"/>
      <c r="AK258" s="325"/>
      <c r="AL258" s="325"/>
      <c r="AM258" s="325"/>
      <c r="AN258" s="325"/>
      <c r="AO258" s="325"/>
      <c r="AP258" s="325"/>
      <c r="AQ258" s="325"/>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5"/>
      <c r="BQ258" s="325"/>
      <c r="BR258" s="325"/>
      <c r="BS258" s="325"/>
      <c r="BT258" s="325"/>
      <c r="BU258" s="325"/>
      <c r="BV258" s="325"/>
    </row>
    <row r="259" spans="2:74" x14ac:dyDescent="0.3">
      <c r="B259" s="301"/>
      <c r="C259" s="288"/>
      <c r="D259" s="288"/>
      <c r="E259" s="368"/>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5"/>
      <c r="BQ259" s="325"/>
      <c r="BR259" s="325"/>
      <c r="BS259" s="325"/>
      <c r="BT259" s="325"/>
      <c r="BU259" s="325"/>
      <c r="BV259" s="325"/>
    </row>
    <row r="260" spans="2:74" x14ac:dyDescent="0.3">
      <c r="B260" s="301"/>
      <c r="C260" s="288"/>
      <c r="D260" s="288"/>
      <c r="E260" s="368"/>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c r="AG260" s="325"/>
      <c r="AH260" s="325"/>
      <c r="AI260" s="325"/>
      <c r="AJ260" s="325"/>
      <c r="AK260" s="325"/>
      <c r="AL260" s="325"/>
      <c r="AM260" s="325"/>
      <c r="AN260" s="325"/>
      <c r="AO260" s="325"/>
      <c r="AP260" s="325"/>
      <c r="AQ260" s="325"/>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5"/>
      <c r="BQ260" s="325"/>
      <c r="BR260" s="325"/>
      <c r="BS260" s="325"/>
      <c r="BT260" s="325"/>
      <c r="BU260" s="325"/>
      <c r="BV260" s="325"/>
    </row>
    <row r="261" spans="2:74" x14ac:dyDescent="0.3">
      <c r="B261" s="301"/>
      <c r="C261" s="301"/>
      <c r="D261" s="301"/>
      <c r="E261" s="368"/>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c r="AG261" s="325"/>
      <c r="AH261" s="325"/>
      <c r="AI261" s="325"/>
      <c r="AJ261" s="325"/>
      <c r="AK261" s="325"/>
      <c r="AL261" s="325"/>
      <c r="AM261" s="325"/>
      <c r="AN261" s="325"/>
      <c r="AO261" s="325"/>
      <c r="AP261" s="325"/>
      <c r="AQ261" s="325"/>
      <c r="AR261" s="325"/>
      <c r="AS261" s="325"/>
      <c r="AT261" s="325"/>
      <c r="AU261" s="325"/>
      <c r="AV261" s="325"/>
      <c r="AW261" s="325"/>
      <c r="AX261" s="325"/>
      <c r="AY261" s="325"/>
      <c r="AZ261" s="325"/>
      <c r="BA261" s="325"/>
      <c r="BB261" s="325"/>
      <c r="BC261" s="325"/>
      <c r="BD261" s="325"/>
      <c r="BE261" s="325"/>
      <c r="BF261" s="325"/>
      <c r="BG261" s="325"/>
      <c r="BH261" s="325"/>
      <c r="BI261" s="325"/>
      <c r="BJ261" s="325"/>
      <c r="BK261" s="325"/>
      <c r="BL261" s="325"/>
      <c r="BM261" s="325"/>
      <c r="BN261" s="325"/>
      <c r="BO261" s="325"/>
      <c r="BP261" s="325"/>
      <c r="BQ261" s="325"/>
      <c r="BR261" s="325"/>
      <c r="BS261" s="325"/>
      <c r="BT261" s="325"/>
      <c r="BU261" s="325"/>
      <c r="BV261" s="325"/>
    </row>
    <row r="262" spans="2:74" x14ac:dyDescent="0.3">
      <c r="B262" s="301"/>
      <c r="C262" s="288"/>
      <c r="D262" s="288"/>
      <c r="E262" s="368"/>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c r="AG262" s="325"/>
      <c r="AH262" s="325"/>
      <c r="AI262" s="325"/>
      <c r="AJ262" s="325"/>
      <c r="AK262" s="325"/>
      <c r="AL262" s="325"/>
      <c r="AM262" s="325"/>
      <c r="AN262" s="325"/>
      <c r="AO262" s="325"/>
      <c r="AP262" s="325"/>
      <c r="AQ262" s="325"/>
      <c r="AR262" s="325"/>
      <c r="AS262" s="325"/>
      <c r="AT262" s="325"/>
      <c r="AU262" s="325"/>
      <c r="AV262" s="325"/>
      <c r="AW262" s="325"/>
      <c r="AX262" s="325"/>
      <c r="AY262" s="325"/>
      <c r="AZ262" s="325"/>
      <c r="BA262" s="325"/>
      <c r="BB262" s="325"/>
      <c r="BC262" s="325"/>
      <c r="BD262" s="325"/>
      <c r="BE262" s="325"/>
      <c r="BF262" s="325"/>
      <c r="BG262" s="325"/>
      <c r="BH262" s="325"/>
      <c r="BI262" s="325"/>
      <c r="BJ262" s="325"/>
      <c r="BK262" s="325"/>
      <c r="BL262" s="325"/>
      <c r="BM262" s="325"/>
      <c r="BN262" s="325"/>
      <c r="BO262" s="325"/>
      <c r="BP262" s="325"/>
      <c r="BQ262" s="325"/>
      <c r="BR262" s="325"/>
      <c r="BS262" s="325"/>
      <c r="BT262" s="325"/>
      <c r="BU262" s="325"/>
      <c r="BV262" s="325"/>
    </row>
    <row r="263" spans="2:74" x14ac:dyDescent="0.3">
      <c r="C263" s="288"/>
      <c r="D263" s="288"/>
      <c r="E263" s="368"/>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325"/>
      <c r="AO263" s="325"/>
      <c r="AP263" s="325"/>
      <c r="AQ263" s="325"/>
      <c r="AR263" s="325"/>
      <c r="AS263" s="325"/>
      <c r="AT263" s="325"/>
      <c r="AU263" s="325"/>
      <c r="AV263" s="325"/>
      <c r="AW263" s="325"/>
      <c r="AX263" s="325"/>
      <c r="AY263" s="325"/>
      <c r="AZ263" s="325"/>
      <c r="BA263" s="325"/>
      <c r="BB263" s="325"/>
      <c r="BC263" s="325"/>
      <c r="BD263" s="325"/>
      <c r="BE263" s="325"/>
      <c r="BF263" s="325"/>
      <c r="BG263" s="325"/>
      <c r="BH263" s="325"/>
      <c r="BI263" s="325"/>
      <c r="BJ263" s="325"/>
      <c r="BK263" s="325"/>
      <c r="BL263" s="325"/>
      <c r="BM263" s="325"/>
      <c r="BN263" s="325"/>
      <c r="BO263" s="325"/>
      <c r="BP263" s="325"/>
      <c r="BQ263" s="325"/>
      <c r="BR263" s="325"/>
      <c r="BS263" s="325"/>
      <c r="BT263" s="325"/>
      <c r="BU263" s="325"/>
      <c r="BV263" s="325"/>
    </row>
    <row r="264" spans="2:74" x14ac:dyDescent="0.3">
      <c r="B264" s="301"/>
      <c r="C264" s="288"/>
      <c r="D264" s="288"/>
      <c r="E264" s="368"/>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c r="BD264" s="325"/>
      <c r="BE264" s="325"/>
      <c r="BF264" s="325"/>
      <c r="BG264" s="325"/>
      <c r="BH264" s="325"/>
      <c r="BI264" s="325"/>
      <c r="BJ264" s="325"/>
      <c r="BK264" s="325"/>
      <c r="BL264" s="325"/>
      <c r="BM264" s="325"/>
      <c r="BN264" s="325"/>
      <c r="BO264" s="325"/>
      <c r="BP264" s="325"/>
      <c r="BQ264" s="325"/>
      <c r="BR264" s="325"/>
      <c r="BS264" s="325"/>
      <c r="BT264" s="325"/>
      <c r="BU264" s="325"/>
      <c r="BV264" s="325"/>
    </row>
    <row r="265" spans="2:74" x14ac:dyDescent="0.3">
      <c r="B265" s="301"/>
      <c r="C265" s="288"/>
      <c r="D265" s="288"/>
      <c r="E265" s="368"/>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5"/>
      <c r="BQ265" s="325"/>
      <c r="BR265" s="325"/>
      <c r="BS265" s="325"/>
      <c r="BT265" s="325"/>
      <c r="BU265" s="325"/>
      <c r="BV265" s="325"/>
    </row>
    <row r="266" spans="2:74" x14ac:dyDescent="0.3">
      <c r="B266" s="301"/>
      <c r="C266" s="288"/>
      <c r="D266" s="288"/>
      <c r="E266" s="368"/>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c r="AN266" s="325"/>
      <c r="AO266" s="325"/>
      <c r="AP266" s="325"/>
      <c r="AQ266" s="325"/>
      <c r="AR266" s="325"/>
      <c r="AS266" s="325"/>
      <c r="AT266" s="325"/>
      <c r="AU266" s="325"/>
      <c r="AV266" s="325"/>
      <c r="AW266" s="325"/>
      <c r="AX266" s="325"/>
      <c r="AY266" s="325"/>
      <c r="AZ266" s="325"/>
      <c r="BA266" s="325"/>
      <c r="BB266" s="325"/>
      <c r="BC266" s="325"/>
      <c r="BD266" s="325"/>
      <c r="BE266" s="325"/>
      <c r="BF266" s="325"/>
      <c r="BG266" s="325"/>
      <c r="BH266" s="325"/>
      <c r="BI266" s="325"/>
      <c r="BJ266" s="325"/>
      <c r="BK266" s="325"/>
      <c r="BL266" s="325"/>
      <c r="BM266" s="325"/>
      <c r="BN266" s="325"/>
      <c r="BO266" s="325"/>
      <c r="BP266" s="325"/>
      <c r="BQ266" s="325"/>
      <c r="BR266" s="325"/>
      <c r="BS266" s="325"/>
      <c r="BT266" s="325"/>
      <c r="BU266" s="325"/>
      <c r="BV266" s="325"/>
    </row>
    <row r="267" spans="2:74" x14ac:dyDescent="0.3">
      <c r="B267" s="301"/>
      <c r="C267" s="288"/>
      <c r="D267" s="288"/>
      <c r="E267" s="368"/>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5"/>
      <c r="BQ267" s="325"/>
      <c r="BR267" s="325"/>
      <c r="BS267" s="325"/>
      <c r="BT267" s="325"/>
      <c r="BU267" s="325"/>
      <c r="BV267" s="325"/>
    </row>
    <row r="268" spans="2:74" x14ac:dyDescent="0.3">
      <c r="B268" s="301"/>
      <c r="C268" s="288"/>
      <c r="D268" s="288"/>
      <c r="E268" s="368"/>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5"/>
      <c r="BQ268" s="325"/>
      <c r="BR268" s="325"/>
      <c r="BS268" s="325"/>
      <c r="BT268" s="325"/>
      <c r="BU268" s="325"/>
      <c r="BV268" s="325"/>
    </row>
    <row r="269" spans="2:74" x14ac:dyDescent="0.3">
      <c r="B269" s="301"/>
      <c r="C269" s="288"/>
      <c r="D269" s="288"/>
      <c r="E269" s="368"/>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5"/>
      <c r="BQ269" s="325"/>
      <c r="BR269" s="325"/>
      <c r="BS269" s="325"/>
      <c r="BT269" s="325"/>
      <c r="BU269" s="325"/>
      <c r="BV269" s="325"/>
    </row>
    <row r="270" spans="2:74" x14ac:dyDescent="0.3">
      <c r="B270" s="301"/>
      <c r="C270" s="288"/>
      <c r="D270" s="288"/>
      <c r="E270" s="368"/>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c r="AG270" s="325"/>
      <c r="AH270" s="325"/>
      <c r="AI270" s="325"/>
      <c r="AJ270" s="325"/>
      <c r="AK270" s="325"/>
      <c r="AL270" s="325"/>
      <c r="AM270" s="325"/>
      <c r="AN270" s="325"/>
      <c r="AO270" s="325"/>
      <c r="AP270" s="325"/>
      <c r="AQ270" s="325"/>
      <c r="AR270" s="325"/>
      <c r="AS270" s="325"/>
      <c r="AT270" s="325"/>
      <c r="AU270" s="325"/>
      <c r="AV270" s="325"/>
      <c r="AW270" s="325"/>
      <c r="AX270" s="325"/>
      <c r="AY270" s="325"/>
      <c r="AZ270" s="325"/>
      <c r="BA270" s="325"/>
      <c r="BB270" s="325"/>
      <c r="BC270" s="325"/>
      <c r="BD270" s="325"/>
      <c r="BE270" s="325"/>
      <c r="BF270" s="325"/>
      <c r="BG270" s="325"/>
      <c r="BH270" s="325"/>
      <c r="BI270" s="325"/>
      <c r="BJ270" s="325"/>
      <c r="BK270" s="325"/>
      <c r="BL270" s="325"/>
      <c r="BM270" s="325"/>
      <c r="BN270" s="325"/>
      <c r="BO270" s="325"/>
      <c r="BP270" s="325"/>
      <c r="BQ270" s="325"/>
      <c r="BR270" s="325"/>
      <c r="BS270" s="325"/>
      <c r="BT270" s="325"/>
      <c r="BU270" s="325"/>
      <c r="BV270" s="325"/>
    </row>
    <row r="271" spans="2:74" x14ac:dyDescent="0.3">
      <c r="B271" s="301"/>
      <c r="C271" s="288"/>
      <c r="D271" s="288"/>
      <c r="E271" s="368"/>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c r="AG271" s="325"/>
      <c r="AH271" s="325"/>
      <c r="AI271" s="325"/>
      <c r="AJ271" s="325"/>
      <c r="AK271" s="325"/>
      <c r="AL271" s="325"/>
      <c r="AM271" s="325"/>
      <c r="AN271" s="325"/>
      <c r="AO271" s="325"/>
      <c r="AP271" s="325"/>
      <c r="AQ271" s="325"/>
      <c r="AR271" s="325"/>
      <c r="AS271" s="325"/>
      <c r="AT271" s="325"/>
      <c r="AU271" s="325"/>
      <c r="AV271" s="325"/>
      <c r="AW271" s="325"/>
      <c r="AX271" s="325"/>
      <c r="AY271" s="325"/>
      <c r="AZ271" s="325"/>
      <c r="BA271" s="325"/>
      <c r="BB271" s="325"/>
      <c r="BC271" s="325"/>
      <c r="BD271" s="325"/>
      <c r="BE271" s="325"/>
      <c r="BF271" s="325"/>
      <c r="BG271" s="325"/>
      <c r="BH271" s="325"/>
      <c r="BI271" s="325"/>
      <c r="BJ271" s="325"/>
      <c r="BK271" s="325"/>
      <c r="BL271" s="325"/>
      <c r="BM271" s="325"/>
      <c r="BN271" s="325"/>
      <c r="BO271" s="325"/>
      <c r="BP271" s="325"/>
      <c r="BQ271" s="325"/>
      <c r="BR271" s="325"/>
      <c r="BS271" s="325"/>
      <c r="BT271" s="325"/>
      <c r="BU271" s="325"/>
      <c r="BV271" s="325"/>
    </row>
    <row r="272" spans="2:74" x14ac:dyDescent="0.3">
      <c r="B272" s="301"/>
      <c r="C272" s="288"/>
      <c r="D272" s="288"/>
      <c r="E272" s="368"/>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c r="AG272" s="325"/>
      <c r="AH272" s="325"/>
      <c r="AI272" s="325"/>
      <c r="AJ272" s="325"/>
      <c r="AK272" s="325"/>
      <c r="AL272" s="325"/>
      <c r="AM272" s="325"/>
      <c r="AN272" s="325"/>
      <c r="AO272" s="325"/>
      <c r="AP272" s="325"/>
      <c r="AQ272" s="325"/>
      <c r="AR272" s="325"/>
      <c r="AS272" s="325"/>
      <c r="AT272" s="325"/>
      <c r="AU272" s="325"/>
      <c r="AV272" s="325"/>
      <c r="AW272" s="325"/>
      <c r="AX272" s="325"/>
      <c r="AY272" s="325"/>
      <c r="AZ272" s="325"/>
      <c r="BA272" s="325"/>
      <c r="BB272" s="325"/>
      <c r="BC272" s="325"/>
      <c r="BD272" s="325"/>
      <c r="BE272" s="325"/>
      <c r="BF272" s="325"/>
      <c r="BG272" s="325"/>
      <c r="BH272" s="325"/>
      <c r="BI272" s="325"/>
      <c r="BJ272" s="325"/>
      <c r="BK272" s="325"/>
      <c r="BL272" s="325"/>
      <c r="BM272" s="325"/>
      <c r="BN272" s="325"/>
      <c r="BO272" s="325"/>
      <c r="BP272" s="325"/>
      <c r="BQ272" s="325"/>
      <c r="BR272" s="325"/>
      <c r="BS272" s="325"/>
      <c r="BT272" s="325"/>
      <c r="BU272" s="325"/>
      <c r="BV272" s="325"/>
    </row>
    <row r="273" spans="2:74" x14ac:dyDescent="0.3">
      <c r="B273" s="301"/>
      <c r="C273" s="301"/>
      <c r="D273" s="301"/>
      <c r="E273" s="368"/>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c r="AG273" s="325"/>
      <c r="AH273" s="325"/>
      <c r="AI273" s="325"/>
      <c r="AJ273" s="325"/>
      <c r="AK273" s="325"/>
      <c r="AL273" s="325"/>
      <c r="AM273" s="325"/>
      <c r="AN273" s="325"/>
      <c r="AO273" s="325"/>
      <c r="AP273" s="325"/>
      <c r="AQ273" s="325"/>
      <c r="AR273" s="325"/>
      <c r="AS273" s="325"/>
      <c r="AT273" s="325"/>
      <c r="AU273" s="325"/>
      <c r="AV273" s="325"/>
      <c r="AW273" s="325"/>
      <c r="AX273" s="325"/>
      <c r="AY273" s="325"/>
      <c r="AZ273" s="325"/>
      <c r="BA273" s="325"/>
      <c r="BB273" s="325"/>
      <c r="BC273" s="325"/>
      <c r="BD273" s="325"/>
      <c r="BE273" s="325"/>
      <c r="BF273" s="325"/>
      <c r="BG273" s="325"/>
      <c r="BH273" s="325"/>
      <c r="BI273" s="325"/>
      <c r="BJ273" s="325"/>
      <c r="BK273" s="325"/>
      <c r="BL273" s="325"/>
      <c r="BM273" s="325"/>
      <c r="BN273" s="325"/>
      <c r="BO273" s="325"/>
      <c r="BP273" s="325"/>
      <c r="BQ273" s="325"/>
      <c r="BR273" s="325"/>
      <c r="BS273" s="325"/>
      <c r="BT273" s="325"/>
      <c r="BU273" s="325"/>
      <c r="BV273" s="325"/>
    </row>
    <row r="274" spans="2:74" x14ac:dyDescent="0.3">
      <c r="B274" s="301"/>
      <c r="C274" s="288"/>
      <c r="D274" s="288"/>
      <c r="E274" s="368"/>
      <c r="F274" s="325"/>
      <c r="G274" s="325"/>
      <c r="H274" s="325"/>
      <c r="I274" s="325"/>
      <c r="J274" s="325"/>
      <c r="K274" s="325"/>
      <c r="L274" s="325"/>
      <c r="M274" s="325"/>
      <c r="N274" s="325"/>
      <c r="O274" s="325"/>
      <c r="P274" s="325"/>
      <c r="Q274" s="325"/>
      <c r="R274" s="325"/>
      <c r="S274" s="325"/>
      <c r="T274" s="325"/>
      <c r="U274" s="325"/>
      <c r="V274" s="325"/>
      <c r="W274" s="325"/>
      <c r="X274" s="325"/>
      <c r="Y274" s="325"/>
      <c r="Z274" s="325"/>
      <c r="AA274" s="325"/>
      <c r="AB274" s="325"/>
      <c r="AC274" s="325"/>
      <c r="AD274" s="325"/>
      <c r="AE274" s="325"/>
      <c r="AF274" s="325"/>
      <c r="AG274" s="325"/>
      <c r="AH274" s="325"/>
      <c r="AI274" s="325"/>
      <c r="AJ274" s="325"/>
      <c r="AK274" s="325"/>
      <c r="AL274" s="325"/>
      <c r="AM274" s="325"/>
      <c r="AN274" s="325"/>
      <c r="AO274" s="325"/>
      <c r="AP274" s="325"/>
      <c r="AQ274" s="325"/>
      <c r="AR274" s="325"/>
      <c r="AS274" s="325"/>
      <c r="AT274" s="325"/>
      <c r="AU274" s="325"/>
      <c r="AV274" s="325"/>
      <c r="AW274" s="325"/>
      <c r="AX274" s="325"/>
      <c r="AY274" s="325"/>
      <c r="AZ274" s="325"/>
      <c r="BA274" s="325"/>
      <c r="BB274" s="325"/>
      <c r="BC274" s="325"/>
      <c r="BD274" s="325"/>
      <c r="BE274" s="325"/>
      <c r="BF274" s="325"/>
      <c r="BG274" s="325"/>
      <c r="BH274" s="325"/>
      <c r="BI274" s="325"/>
      <c r="BJ274" s="325"/>
      <c r="BK274" s="325"/>
      <c r="BL274" s="325"/>
      <c r="BM274" s="325"/>
      <c r="BN274" s="325"/>
      <c r="BO274" s="325"/>
      <c r="BP274" s="325"/>
      <c r="BQ274" s="325"/>
      <c r="BR274" s="325"/>
      <c r="BS274" s="325"/>
      <c r="BT274" s="325"/>
      <c r="BU274" s="325"/>
      <c r="BV274" s="325"/>
    </row>
    <row r="275" spans="2:74" x14ac:dyDescent="0.3">
      <c r="B275" s="301"/>
      <c r="C275" s="288"/>
      <c r="D275" s="288"/>
      <c r="E275" s="368"/>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c r="AG275" s="325"/>
      <c r="AH275" s="325"/>
      <c r="AI275" s="325"/>
      <c r="AJ275" s="325"/>
      <c r="AK275" s="325"/>
      <c r="AL275" s="325"/>
      <c r="AM275" s="325"/>
      <c r="AN275" s="325"/>
      <c r="AO275" s="325"/>
      <c r="AP275" s="325"/>
      <c r="AQ275" s="325"/>
      <c r="AR275" s="325"/>
      <c r="AS275" s="325"/>
      <c r="AT275" s="325"/>
      <c r="AU275" s="325"/>
      <c r="AV275" s="325"/>
      <c r="AW275" s="325"/>
      <c r="AX275" s="325"/>
      <c r="AY275" s="325"/>
      <c r="AZ275" s="325"/>
      <c r="BA275" s="325"/>
      <c r="BB275" s="325"/>
      <c r="BC275" s="325"/>
      <c r="BD275" s="325"/>
      <c r="BE275" s="325"/>
      <c r="BF275" s="325"/>
      <c r="BG275" s="325"/>
      <c r="BH275" s="325"/>
      <c r="BI275" s="325"/>
      <c r="BJ275" s="325"/>
      <c r="BK275" s="325"/>
      <c r="BL275" s="325"/>
      <c r="BM275" s="325"/>
      <c r="BN275" s="325"/>
      <c r="BO275" s="325"/>
      <c r="BP275" s="325"/>
      <c r="BQ275" s="325"/>
      <c r="BR275" s="325"/>
      <c r="BS275" s="325"/>
      <c r="BT275" s="325"/>
      <c r="BU275" s="325"/>
      <c r="BV275" s="325"/>
    </row>
    <row r="276" spans="2:74" x14ac:dyDescent="0.3">
      <c r="B276" s="301"/>
      <c r="C276" s="288"/>
      <c r="D276" s="288"/>
      <c r="E276" s="368"/>
      <c r="F276" s="325"/>
      <c r="G276" s="325"/>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325"/>
      <c r="AD276" s="325"/>
      <c r="AE276" s="325"/>
      <c r="AF276" s="325"/>
      <c r="AG276" s="325"/>
      <c r="AH276" s="325"/>
      <c r="AI276" s="325"/>
      <c r="AJ276" s="325"/>
      <c r="AK276" s="325"/>
      <c r="AL276" s="325"/>
      <c r="AM276" s="325"/>
      <c r="AN276" s="325"/>
      <c r="AO276" s="325"/>
      <c r="AP276" s="325"/>
      <c r="AQ276" s="325"/>
      <c r="AR276" s="325"/>
      <c r="AS276" s="325"/>
      <c r="AT276" s="325"/>
      <c r="AU276" s="325"/>
      <c r="AV276" s="325"/>
      <c r="AW276" s="325"/>
      <c r="AX276" s="325"/>
      <c r="AY276" s="325"/>
      <c r="AZ276" s="325"/>
      <c r="BA276" s="325"/>
      <c r="BB276" s="325"/>
      <c r="BC276" s="325"/>
      <c r="BD276" s="325"/>
      <c r="BE276" s="325"/>
      <c r="BF276" s="325"/>
      <c r="BG276" s="325"/>
      <c r="BH276" s="325"/>
      <c r="BI276" s="325"/>
      <c r="BJ276" s="325"/>
      <c r="BK276" s="325"/>
      <c r="BL276" s="325"/>
      <c r="BM276" s="325"/>
      <c r="BN276" s="325"/>
      <c r="BO276" s="325"/>
      <c r="BP276" s="325"/>
      <c r="BQ276" s="325"/>
      <c r="BR276" s="325"/>
      <c r="BS276" s="325"/>
      <c r="BT276" s="325"/>
      <c r="BU276" s="325"/>
      <c r="BV276" s="325"/>
    </row>
    <row r="277" spans="2:74" x14ac:dyDescent="0.3">
      <c r="B277" s="301"/>
      <c r="C277" s="288"/>
      <c r="D277" s="288"/>
      <c r="E277" s="368"/>
      <c r="F277" s="325"/>
      <c r="G277" s="325"/>
      <c r="H277" s="325"/>
      <c r="I277" s="325"/>
      <c r="J277" s="325"/>
      <c r="K277" s="325"/>
      <c r="L277" s="325"/>
      <c r="M277" s="325"/>
      <c r="N277" s="325"/>
      <c r="O277" s="325"/>
      <c r="P277" s="325"/>
      <c r="Q277" s="325"/>
      <c r="R277" s="325"/>
      <c r="S277" s="325"/>
      <c r="T277" s="325"/>
      <c r="U277" s="325"/>
      <c r="V277" s="325"/>
      <c r="W277" s="325"/>
      <c r="X277" s="325"/>
      <c r="Y277" s="325"/>
      <c r="Z277" s="325"/>
      <c r="AA277" s="325"/>
      <c r="AB277" s="325"/>
      <c r="AC277" s="325"/>
      <c r="AD277" s="325"/>
      <c r="AE277" s="325"/>
      <c r="AF277" s="325"/>
      <c r="AG277" s="325"/>
      <c r="AH277" s="325"/>
      <c r="AI277" s="325"/>
      <c r="AJ277" s="325"/>
      <c r="AK277" s="325"/>
      <c r="AL277" s="325"/>
      <c r="AM277" s="325"/>
      <c r="AN277" s="325"/>
      <c r="AO277" s="325"/>
      <c r="AP277" s="325"/>
      <c r="AQ277" s="325"/>
      <c r="AR277" s="325"/>
      <c r="AS277" s="325"/>
      <c r="AT277" s="325"/>
      <c r="AU277" s="325"/>
      <c r="AV277" s="325"/>
      <c r="AW277" s="325"/>
      <c r="AX277" s="325"/>
      <c r="AY277" s="325"/>
      <c r="AZ277" s="325"/>
      <c r="BA277" s="325"/>
      <c r="BB277" s="325"/>
      <c r="BC277" s="325"/>
      <c r="BD277" s="325"/>
      <c r="BE277" s="325"/>
      <c r="BF277" s="325"/>
      <c r="BG277" s="325"/>
      <c r="BH277" s="325"/>
      <c r="BI277" s="325"/>
      <c r="BJ277" s="325"/>
      <c r="BK277" s="325"/>
      <c r="BL277" s="325"/>
      <c r="BM277" s="325"/>
      <c r="BN277" s="325"/>
      <c r="BO277" s="325"/>
      <c r="BP277" s="325"/>
      <c r="BQ277" s="325"/>
      <c r="BR277" s="325"/>
      <c r="BS277" s="325"/>
      <c r="BT277" s="325"/>
      <c r="BU277" s="325"/>
      <c r="BV277" s="325"/>
    </row>
    <row r="278" spans="2:74" x14ac:dyDescent="0.3">
      <c r="B278" s="301"/>
      <c r="C278" s="288"/>
      <c r="D278" s="288"/>
      <c r="E278" s="368"/>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c r="AD278" s="325"/>
      <c r="AE278" s="325"/>
      <c r="AF278" s="325"/>
      <c r="AG278" s="325"/>
      <c r="AH278" s="325"/>
      <c r="AI278" s="325"/>
      <c r="AJ278" s="325"/>
      <c r="AK278" s="325"/>
      <c r="AL278" s="325"/>
      <c r="AM278" s="325"/>
      <c r="AN278" s="325"/>
      <c r="AO278" s="325"/>
      <c r="AP278" s="325"/>
      <c r="AQ278" s="325"/>
      <c r="AR278" s="325"/>
      <c r="AS278" s="325"/>
      <c r="AT278" s="325"/>
      <c r="AU278" s="325"/>
      <c r="AV278" s="325"/>
      <c r="AW278" s="325"/>
      <c r="AX278" s="325"/>
      <c r="AY278" s="325"/>
      <c r="AZ278" s="325"/>
      <c r="BA278" s="325"/>
      <c r="BB278" s="325"/>
      <c r="BC278" s="325"/>
      <c r="BD278" s="325"/>
      <c r="BE278" s="325"/>
      <c r="BF278" s="325"/>
      <c r="BG278" s="325"/>
      <c r="BH278" s="325"/>
      <c r="BI278" s="325"/>
      <c r="BJ278" s="325"/>
      <c r="BK278" s="325"/>
      <c r="BL278" s="325"/>
      <c r="BM278" s="325"/>
      <c r="BN278" s="325"/>
      <c r="BO278" s="325"/>
      <c r="BP278" s="325"/>
      <c r="BQ278" s="325"/>
      <c r="BR278" s="325"/>
      <c r="BS278" s="325"/>
      <c r="BT278" s="325"/>
      <c r="BU278" s="325"/>
      <c r="BV278" s="325"/>
    </row>
    <row r="279" spans="2:74" x14ac:dyDescent="0.3">
      <c r="B279" s="301"/>
      <c r="C279" s="288"/>
      <c r="D279" s="288"/>
      <c r="E279" s="368"/>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c r="AD279" s="325"/>
      <c r="AE279" s="325"/>
      <c r="AF279" s="325"/>
      <c r="AG279" s="325"/>
      <c r="AH279" s="325"/>
      <c r="AI279" s="325"/>
      <c r="AJ279" s="325"/>
      <c r="AK279" s="325"/>
      <c r="AL279" s="325"/>
      <c r="AM279" s="325"/>
      <c r="AN279" s="325"/>
      <c r="AO279" s="325"/>
      <c r="AP279" s="325"/>
      <c r="AQ279" s="325"/>
      <c r="AR279" s="325"/>
      <c r="AS279" s="325"/>
      <c r="AT279" s="325"/>
      <c r="AU279" s="325"/>
      <c r="AV279" s="325"/>
      <c r="AW279" s="325"/>
      <c r="AX279" s="325"/>
      <c r="AY279" s="325"/>
      <c r="AZ279" s="325"/>
      <c r="BA279" s="325"/>
      <c r="BB279" s="325"/>
      <c r="BC279" s="325"/>
      <c r="BD279" s="325"/>
      <c r="BE279" s="325"/>
      <c r="BF279" s="325"/>
      <c r="BG279" s="325"/>
      <c r="BH279" s="325"/>
      <c r="BI279" s="325"/>
      <c r="BJ279" s="325"/>
      <c r="BK279" s="325"/>
      <c r="BL279" s="325"/>
      <c r="BM279" s="325"/>
      <c r="BN279" s="325"/>
      <c r="BO279" s="325"/>
      <c r="BP279" s="325"/>
      <c r="BQ279" s="325"/>
      <c r="BR279" s="325"/>
      <c r="BS279" s="325"/>
      <c r="BT279" s="325"/>
      <c r="BU279" s="325"/>
      <c r="BV279" s="325"/>
    </row>
    <row r="280" spans="2:74" x14ac:dyDescent="0.3">
      <c r="B280" s="301"/>
      <c r="C280" s="288"/>
      <c r="D280" s="288"/>
      <c r="E280" s="368"/>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325"/>
      <c r="AD280" s="325"/>
      <c r="AE280" s="325"/>
      <c r="AF280" s="325"/>
      <c r="AG280" s="325"/>
      <c r="AH280" s="325"/>
      <c r="AI280" s="325"/>
      <c r="AJ280" s="325"/>
      <c r="AK280" s="325"/>
      <c r="AL280" s="325"/>
      <c r="AM280" s="325"/>
      <c r="AN280" s="325"/>
      <c r="AO280" s="325"/>
      <c r="AP280" s="325"/>
      <c r="AQ280" s="325"/>
      <c r="AR280" s="325"/>
      <c r="AS280" s="325"/>
      <c r="AT280" s="325"/>
      <c r="AU280" s="325"/>
      <c r="AV280" s="325"/>
      <c r="AW280" s="325"/>
      <c r="AX280" s="325"/>
      <c r="AY280" s="325"/>
      <c r="AZ280" s="325"/>
      <c r="BA280" s="325"/>
      <c r="BB280" s="325"/>
      <c r="BC280" s="325"/>
      <c r="BD280" s="325"/>
      <c r="BE280" s="325"/>
      <c r="BF280" s="325"/>
      <c r="BG280" s="325"/>
      <c r="BH280" s="325"/>
      <c r="BI280" s="325"/>
      <c r="BJ280" s="325"/>
      <c r="BK280" s="325"/>
      <c r="BL280" s="325"/>
      <c r="BM280" s="325"/>
      <c r="BN280" s="325"/>
      <c r="BO280" s="325"/>
      <c r="BP280" s="325"/>
      <c r="BQ280" s="325"/>
      <c r="BR280" s="325"/>
      <c r="BS280" s="325"/>
      <c r="BT280" s="325"/>
      <c r="BU280" s="325"/>
      <c r="BV280" s="325"/>
    </row>
    <row r="281" spans="2:74" x14ac:dyDescent="0.3">
      <c r="B281" s="301"/>
      <c r="C281" s="288"/>
      <c r="D281" s="288"/>
      <c r="E281" s="368"/>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BF281" s="325"/>
      <c r="BG281" s="325"/>
      <c r="BH281" s="325"/>
      <c r="BI281" s="325"/>
      <c r="BJ281" s="325"/>
      <c r="BK281" s="325"/>
      <c r="BL281" s="325"/>
      <c r="BM281" s="325"/>
      <c r="BN281" s="325"/>
      <c r="BO281" s="325"/>
      <c r="BP281" s="325"/>
      <c r="BQ281" s="325"/>
      <c r="BR281" s="325"/>
      <c r="BS281" s="325"/>
      <c r="BT281" s="325"/>
      <c r="BU281" s="325"/>
      <c r="BV281" s="325"/>
    </row>
    <row r="282" spans="2:74" x14ac:dyDescent="0.3">
      <c r="B282" s="301"/>
      <c r="C282" s="288"/>
      <c r="D282" s="288"/>
      <c r="E282" s="368"/>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5"/>
      <c r="AG282" s="325"/>
      <c r="AH282" s="325"/>
      <c r="AI282" s="325"/>
      <c r="AJ282" s="325"/>
      <c r="AK282" s="325"/>
      <c r="AL282" s="325"/>
      <c r="AM282" s="325"/>
      <c r="AN282" s="325"/>
      <c r="AO282" s="325"/>
      <c r="AP282" s="325"/>
      <c r="AQ282" s="325"/>
      <c r="AR282" s="325"/>
      <c r="AS282" s="325"/>
      <c r="AT282" s="325"/>
      <c r="AU282" s="325"/>
      <c r="AV282" s="325"/>
      <c r="AW282" s="325"/>
      <c r="AX282" s="325"/>
      <c r="AY282" s="325"/>
      <c r="AZ282" s="325"/>
      <c r="BA282" s="325"/>
      <c r="BB282" s="325"/>
      <c r="BC282" s="325"/>
      <c r="BD282" s="325"/>
      <c r="BE282" s="325"/>
      <c r="BF282" s="325"/>
      <c r="BG282" s="325"/>
      <c r="BH282" s="325"/>
      <c r="BI282" s="325"/>
      <c r="BJ282" s="325"/>
      <c r="BK282" s="325"/>
      <c r="BL282" s="325"/>
      <c r="BM282" s="325"/>
      <c r="BN282" s="325"/>
      <c r="BO282" s="325"/>
      <c r="BP282" s="325"/>
      <c r="BQ282" s="325"/>
      <c r="BR282" s="325"/>
      <c r="BS282" s="325"/>
      <c r="BT282" s="325"/>
      <c r="BU282" s="325"/>
      <c r="BV282" s="325"/>
    </row>
    <row r="283" spans="2:74" x14ac:dyDescent="0.3">
      <c r="B283" s="301"/>
      <c r="C283" s="288"/>
      <c r="D283" s="288"/>
      <c r="E283" s="368"/>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5"/>
      <c r="AE283" s="325"/>
      <c r="AF283" s="325"/>
      <c r="AG283" s="325"/>
      <c r="AH283" s="325"/>
      <c r="AI283" s="325"/>
      <c r="AJ283" s="325"/>
      <c r="AK283" s="325"/>
      <c r="AL283" s="325"/>
      <c r="AM283" s="325"/>
      <c r="AN283" s="325"/>
      <c r="AO283" s="325"/>
      <c r="AP283" s="325"/>
      <c r="AQ283" s="325"/>
      <c r="AR283" s="325"/>
      <c r="AS283" s="325"/>
      <c r="AT283" s="325"/>
      <c r="AU283" s="325"/>
      <c r="AV283" s="325"/>
      <c r="AW283" s="325"/>
      <c r="AX283" s="325"/>
      <c r="AY283" s="325"/>
      <c r="AZ283" s="325"/>
      <c r="BA283" s="325"/>
      <c r="BB283" s="325"/>
      <c r="BC283" s="325"/>
      <c r="BD283" s="325"/>
      <c r="BE283" s="325"/>
      <c r="BF283" s="325"/>
      <c r="BG283" s="325"/>
      <c r="BH283" s="325"/>
      <c r="BI283" s="325"/>
      <c r="BJ283" s="325"/>
      <c r="BK283" s="325"/>
      <c r="BL283" s="325"/>
      <c r="BM283" s="325"/>
      <c r="BN283" s="325"/>
      <c r="BO283" s="325"/>
      <c r="BP283" s="325"/>
      <c r="BQ283" s="325"/>
      <c r="BR283" s="325"/>
      <c r="BS283" s="325"/>
      <c r="BT283" s="325"/>
      <c r="BU283" s="325"/>
      <c r="BV283" s="325"/>
    </row>
    <row r="284" spans="2:74" x14ac:dyDescent="0.3">
      <c r="B284" s="301"/>
      <c r="C284" s="288"/>
      <c r="D284" s="288"/>
      <c r="E284" s="368"/>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c r="AD284" s="325"/>
      <c r="AE284" s="325"/>
      <c r="AF284" s="325"/>
      <c r="AG284" s="325"/>
      <c r="AH284" s="325"/>
      <c r="AI284" s="325"/>
      <c r="AJ284" s="325"/>
      <c r="AK284" s="325"/>
      <c r="AL284" s="325"/>
      <c r="AM284" s="325"/>
      <c r="AN284" s="325"/>
      <c r="AO284" s="325"/>
      <c r="AP284" s="325"/>
      <c r="AQ284" s="325"/>
      <c r="AR284" s="325"/>
      <c r="AS284" s="325"/>
      <c r="AT284" s="325"/>
      <c r="AU284" s="325"/>
      <c r="AV284" s="325"/>
      <c r="AW284" s="325"/>
      <c r="AX284" s="325"/>
      <c r="AY284" s="325"/>
      <c r="AZ284" s="325"/>
      <c r="BA284" s="325"/>
      <c r="BB284" s="325"/>
      <c r="BC284" s="325"/>
      <c r="BD284" s="325"/>
      <c r="BE284" s="325"/>
      <c r="BF284" s="325"/>
      <c r="BG284" s="325"/>
      <c r="BH284" s="325"/>
      <c r="BI284" s="325"/>
      <c r="BJ284" s="325"/>
      <c r="BK284" s="325"/>
      <c r="BL284" s="325"/>
      <c r="BM284" s="325"/>
      <c r="BN284" s="325"/>
      <c r="BO284" s="325"/>
      <c r="BP284" s="325"/>
      <c r="BQ284" s="325"/>
      <c r="BR284" s="325"/>
      <c r="BS284" s="325"/>
      <c r="BT284" s="325"/>
      <c r="BU284" s="325"/>
      <c r="BV284" s="325"/>
    </row>
    <row r="285" spans="2:74" x14ac:dyDescent="0.3">
      <c r="B285" s="301"/>
      <c r="C285" s="288"/>
      <c r="D285" s="288"/>
      <c r="E285" s="368"/>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5"/>
      <c r="AG285" s="325"/>
      <c r="AH285" s="325"/>
      <c r="AI285" s="325"/>
      <c r="AJ285" s="325"/>
      <c r="AK285" s="325"/>
      <c r="AL285" s="325"/>
      <c r="AM285" s="325"/>
      <c r="AN285" s="325"/>
      <c r="AO285" s="325"/>
      <c r="AP285" s="325"/>
      <c r="AQ285" s="325"/>
      <c r="AR285" s="325"/>
      <c r="AS285" s="325"/>
      <c r="AT285" s="325"/>
      <c r="AU285" s="325"/>
      <c r="AV285" s="325"/>
      <c r="AW285" s="325"/>
      <c r="AX285" s="325"/>
      <c r="AY285" s="325"/>
      <c r="AZ285" s="325"/>
      <c r="BA285" s="325"/>
      <c r="BB285" s="325"/>
      <c r="BC285" s="325"/>
      <c r="BD285" s="325"/>
      <c r="BE285" s="325"/>
      <c r="BF285" s="325"/>
      <c r="BG285" s="325"/>
      <c r="BH285" s="325"/>
      <c r="BI285" s="325"/>
      <c r="BJ285" s="325"/>
      <c r="BK285" s="325"/>
      <c r="BL285" s="325"/>
      <c r="BM285" s="325"/>
      <c r="BN285" s="325"/>
      <c r="BO285" s="325"/>
      <c r="BP285" s="325"/>
      <c r="BQ285" s="325"/>
      <c r="BR285" s="325"/>
      <c r="BS285" s="325"/>
      <c r="BT285" s="325"/>
      <c r="BU285" s="325"/>
      <c r="BV285" s="325"/>
    </row>
    <row r="286" spans="2:74" x14ac:dyDescent="0.3">
      <c r="B286" s="301"/>
      <c r="C286" s="301"/>
      <c r="D286" s="301"/>
      <c r="E286" s="368"/>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5"/>
      <c r="AG286" s="325"/>
      <c r="AH286" s="325"/>
      <c r="AI286" s="325"/>
      <c r="AJ286" s="325"/>
      <c r="AK286" s="325"/>
      <c r="AL286" s="325"/>
      <c r="AM286" s="325"/>
      <c r="AN286" s="325"/>
      <c r="AO286" s="325"/>
      <c r="AP286" s="325"/>
      <c r="AQ286" s="325"/>
      <c r="AR286" s="325"/>
      <c r="AS286" s="325"/>
      <c r="AT286" s="325"/>
      <c r="AU286" s="325"/>
      <c r="AV286" s="325"/>
      <c r="AW286" s="325"/>
      <c r="AX286" s="325"/>
      <c r="AY286" s="325"/>
      <c r="AZ286" s="325"/>
      <c r="BA286" s="325"/>
      <c r="BB286" s="325"/>
      <c r="BC286" s="325"/>
      <c r="BD286" s="325"/>
      <c r="BE286" s="325"/>
      <c r="BF286" s="325"/>
      <c r="BG286" s="325"/>
      <c r="BH286" s="325"/>
      <c r="BI286" s="325"/>
      <c r="BJ286" s="325"/>
      <c r="BK286" s="325"/>
      <c r="BL286" s="325"/>
      <c r="BM286" s="325"/>
      <c r="BN286" s="325"/>
      <c r="BO286" s="325"/>
      <c r="BP286" s="325"/>
      <c r="BQ286" s="325"/>
      <c r="BR286" s="325"/>
      <c r="BS286" s="325"/>
      <c r="BT286" s="325"/>
      <c r="BU286" s="325"/>
      <c r="BV286" s="325"/>
    </row>
    <row r="287" spans="2:74" x14ac:dyDescent="0.3">
      <c r="B287" s="301"/>
      <c r="C287" s="301"/>
      <c r="D287" s="301"/>
      <c r="E287" s="368"/>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c r="AG287" s="325"/>
      <c r="AH287" s="325"/>
      <c r="AI287" s="325"/>
      <c r="AJ287" s="325"/>
      <c r="AK287" s="325"/>
      <c r="AL287" s="325"/>
      <c r="AM287" s="325"/>
      <c r="AN287" s="325"/>
      <c r="AO287" s="325"/>
      <c r="AP287" s="325"/>
      <c r="AQ287" s="325"/>
      <c r="AR287" s="325"/>
      <c r="AS287" s="325"/>
      <c r="AT287" s="325"/>
      <c r="AU287" s="325"/>
      <c r="AV287" s="325"/>
      <c r="AW287" s="325"/>
      <c r="AX287" s="325"/>
      <c r="AY287" s="325"/>
      <c r="AZ287" s="325"/>
      <c r="BA287" s="325"/>
      <c r="BB287" s="325"/>
      <c r="BC287" s="325"/>
      <c r="BD287" s="325"/>
      <c r="BE287" s="325"/>
      <c r="BF287" s="325"/>
      <c r="BG287" s="325"/>
      <c r="BH287" s="325"/>
      <c r="BI287" s="325"/>
      <c r="BJ287" s="325"/>
      <c r="BK287" s="325"/>
      <c r="BL287" s="325"/>
      <c r="BM287" s="325"/>
      <c r="BN287" s="325"/>
      <c r="BO287" s="325"/>
      <c r="BP287" s="325"/>
      <c r="BQ287" s="325"/>
      <c r="BR287" s="325"/>
      <c r="BS287" s="325"/>
      <c r="BT287" s="325"/>
      <c r="BU287" s="325"/>
      <c r="BV287" s="325"/>
    </row>
    <row r="288" spans="2:74" x14ac:dyDescent="0.3">
      <c r="B288" s="301"/>
      <c r="C288" s="288"/>
      <c r="D288" s="288"/>
      <c r="E288" s="368"/>
      <c r="F288" s="325"/>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5"/>
      <c r="AG288" s="325"/>
      <c r="AH288" s="325"/>
      <c r="AI288" s="325"/>
      <c r="AJ288" s="325"/>
      <c r="AK288" s="325"/>
      <c r="AL288" s="325"/>
      <c r="AM288" s="325"/>
      <c r="AN288" s="325"/>
      <c r="AO288" s="325"/>
      <c r="AP288" s="325"/>
      <c r="AQ288" s="325"/>
      <c r="AR288" s="325"/>
      <c r="AS288" s="325"/>
      <c r="AT288" s="325"/>
      <c r="AU288" s="325"/>
      <c r="AV288" s="325"/>
      <c r="AW288" s="325"/>
      <c r="AX288" s="325"/>
      <c r="AY288" s="325"/>
      <c r="AZ288" s="325"/>
      <c r="BA288" s="325"/>
      <c r="BB288" s="325"/>
      <c r="BC288" s="325"/>
      <c r="BD288" s="325"/>
      <c r="BE288" s="325"/>
      <c r="BF288" s="325"/>
      <c r="BG288" s="325"/>
      <c r="BH288" s="325"/>
      <c r="BI288" s="325"/>
      <c r="BJ288" s="325"/>
      <c r="BK288" s="325"/>
      <c r="BL288" s="325"/>
      <c r="BM288" s="325"/>
      <c r="BN288" s="325"/>
      <c r="BO288" s="325"/>
      <c r="BP288" s="325"/>
      <c r="BQ288" s="325"/>
      <c r="BR288" s="325"/>
      <c r="BS288" s="325"/>
      <c r="BT288" s="325"/>
      <c r="BU288" s="325"/>
      <c r="BV288" s="325"/>
    </row>
    <row r="289" spans="2:74" x14ac:dyDescent="0.3">
      <c r="B289" s="301"/>
      <c r="C289" s="288"/>
      <c r="D289" s="288"/>
      <c r="E289" s="368"/>
      <c r="F289" s="325"/>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5"/>
      <c r="AG289" s="325"/>
      <c r="AH289" s="325"/>
      <c r="AI289" s="325"/>
      <c r="AJ289" s="325"/>
      <c r="AK289" s="325"/>
      <c r="AL289" s="325"/>
      <c r="AM289" s="325"/>
      <c r="AN289" s="325"/>
      <c r="AO289" s="325"/>
      <c r="AP289" s="325"/>
      <c r="AQ289" s="325"/>
      <c r="AR289" s="325"/>
      <c r="AS289" s="325"/>
      <c r="AT289" s="325"/>
      <c r="AU289" s="325"/>
      <c r="AV289" s="325"/>
      <c r="AW289" s="325"/>
      <c r="AX289" s="325"/>
      <c r="AY289" s="325"/>
      <c r="AZ289" s="325"/>
      <c r="BA289" s="325"/>
      <c r="BB289" s="325"/>
      <c r="BC289" s="325"/>
      <c r="BD289" s="325"/>
      <c r="BE289" s="325"/>
      <c r="BF289" s="325"/>
      <c r="BG289" s="325"/>
      <c r="BH289" s="325"/>
      <c r="BI289" s="325"/>
      <c r="BJ289" s="325"/>
      <c r="BK289" s="325"/>
      <c r="BL289" s="325"/>
      <c r="BM289" s="325"/>
      <c r="BN289" s="325"/>
      <c r="BO289" s="325"/>
      <c r="BP289" s="325"/>
      <c r="BQ289" s="325"/>
      <c r="BR289" s="325"/>
      <c r="BS289" s="325"/>
      <c r="BT289" s="325"/>
      <c r="BU289" s="325"/>
      <c r="BV289" s="325"/>
    </row>
    <row r="290" spans="2:74" x14ac:dyDescent="0.3">
      <c r="B290" s="301"/>
      <c r="C290" s="288"/>
      <c r="D290" s="288"/>
      <c r="E290" s="368"/>
      <c r="F290" s="325"/>
      <c r="G290" s="325"/>
      <c r="H290" s="325"/>
      <c r="I290" s="325"/>
      <c r="J290" s="325"/>
      <c r="K290" s="325"/>
      <c r="L290" s="325"/>
      <c r="M290" s="325"/>
      <c r="N290" s="325"/>
      <c r="O290" s="325"/>
      <c r="P290" s="325"/>
      <c r="Q290" s="325"/>
      <c r="R290" s="325"/>
      <c r="S290" s="325"/>
      <c r="T290" s="325"/>
      <c r="U290" s="325"/>
      <c r="V290" s="325"/>
      <c r="W290" s="325"/>
      <c r="X290" s="325"/>
      <c r="Y290" s="325"/>
      <c r="Z290" s="325"/>
      <c r="AA290" s="325"/>
      <c r="AB290" s="325"/>
      <c r="AC290" s="325"/>
      <c r="AD290" s="325"/>
      <c r="AE290" s="325"/>
      <c r="AF290" s="325"/>
      <c r="AG290" s="325"/>
      <c r="AH290" s="325"/>
      <c r="AI290" s="325"/>
      <c r="AJ290" s="325"/>
      <c r="AK290" s="325"/>
      <c r="AL290" s="325"/>
      <c r="AM290" s="325"/>
      <c r="AN290" s="325"/>
      <c r="AO290" s="325"/>
      <c r="AP290" s="325"/>
      <c r="AQ290" s="325"/>
      <c r="AR290" s="325"/>
      <c r="AS290" s="325"/>
      <c r="AT290" s="325"/>
      <c r="AU290" s="325"/>
      <c r="AV290" s="325"/>
      <c r="AW290" s="325"/>
      <c r="AX290" s="325"/>
      <c r="AY290" s="325"/>
      <c r="AZ290" s="325"/>
      <c r="BA290" s="325"/>
      <c r="BB290" s="325"/>
      <c r="BC290" s="325"/>
      <c r="BD290" s="325"/>
      <c r="BE290" s="325"/>
      <c r="BF290" s="325"/>
      <c r="BG290" s="325"/>
      <c r="BH290" s="325"/>
      <c r="BI290" s="325"/>
      <c r="BJ290" s="325"/>
      <c r="BK290" s="325"/>
      <c r="BL290" s="325"/>
      <c r="BM290" s="325"/>
      <c r="BN290" s="325"/>
      <c r="BO290" s="325"/>
      <c r="BP290" s="325"/>
      <c r="BQ290" s="325"/>
      <c r="BR290" s="325"/>
      <c r="BS290" s="325"/>
      <c r="BT290" s="325"/>
      <c r="BU290" s="325"/>
      <c r="BV290" s="325"/>
    </row>
  </sheetData>
  <mergeCells count="15">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 right="0.7" top="0.75" bottom="0.75" header="0.3" footer="0.3"/>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48"/>
  <sheetViews>
    <sheetView view="pageBreakPreview" topLeftCell="AW1" zoomScale="110" zoomScaleNormal="100" zoomScaleSheetLayoutView="110" workbookViewId="0">
      <selection activeCell="BN12" sqref="BN12"/>
    </sheetView>
  </sheetViews>
  <sheetFormatPr defaultColWidth="10" defaultRowHeight="13.8" x14ac:dyDescent="0.3"/>
  <cols>
    <col min="1" max="1" width="1.5546875" style="38" customWidth="1"/>
    <col min="2" max="2" width="1.44140625" style="38" customWidth="1"/>
    <col min="3" max="3" width="57.5546875" style="38" customWidth="1"/>
    <col min="4" max="4" width="2.6640625" style="38" customWidth="1"/>
    <col min="5" max="5" width="8.6640625" style="38" hidden="1" customWidth="1"/>
    <col min="6" max="7" width="1" style="38" customWidth="1"/>
    <col min="8" max="8" width="19.6640625" style="38" customWidth="1"/>
    <col min="9" max="10" width="1" style="38" customWidth="1"/>
    <col min="11" max="11" width="2" style="38" customWidth="1"/>
    <col min="12" max="12" width="1" style="38" customWidth="1"/>
    <col min="13" max="13" width="17.88671875" style="38" customWidth="1"/>
    <col min="14" max="17" width="1" style="38" customWidth="1"/>
    <col min="18" max="18" width="17.88671875" style="38" customWidth="1"/>
    <col min="19" max="22" width="1" style="38" customWidth="1"/>
    <col min="23" max="23" width="17.88671875" style="38" customWidth="1"/>
    <col min="24" max="27" width="1" style="38" customWidth="1"/>
    <col min="28" max="28" width="17.88671875" style="38" customWidth="1"/>
    <col min="29" max="32" width="1" style="38" customWidth="1"/>
    <col min="33" max="33" width="17.88671875" style="38" customWidth="1"/>
    <col min="34" max="37" width="1" style="38" customWidth="1"/>
    <col min="38" max="38" width="17.88671875" style="38" customWidth="1"/>
    <col min="39" max="42" width="1" style="38" customWidth="1"/>
    <col min="43" max="43" width="17.88671875" style="38" customWidth="1"/>
    <col min="44" max="47" width="1" style="38" customWidth="1"/>
    <col min="48" max="48" width="17.88671875" style="38" customWidth="1"/>
    <col min="49" max="52" width="1" style="38" customWidth="1"/>
    <col min="53" max="53" width="17.88671875" style="38" customWidth="1"/>
    <col min="54" max="57" width="1" style="38" customWidth="1"/>
    <col min="58" max="58" width="17.88671875" style="38" customWidth="1"/>
    <col min="59" max="62" width="1" style="38" customWidth="1"/>
    <col min="63" max="63" width="17.88671875" style="38" customWidth="1"/>
    <col min="64" max="67" width="1" style="38" customWidth="1"/>
    <col min="68" max="68" width="17.88671875" style="38" customWidth="1"/>
    <col min="69" max="72" width="1" style="38" customWidth="1"/>
    <col min="73" max="73" width="17.88671875" style="38" customWidth="1"/>
    <col min="74" max="75" width="1" style="38" customWidth="1"/>
    <col min="76" max="77" width="1" style="38" hidden="1" customWidth="1"/>
    <col min="78" max="78" width="17.88671875" style="38" hidden="1" customWidth="1"/>
    <col min="79" max="82" width="1" style="38" hidden="1" customWidth="1"/>
    <col min="83" max="83" width="17.88671875" style="38" hidden="1" customWidth="1"/>
    <col min="84" max="87" width="1" style="38" hidden="1" customWidth="1"/>
    <col min="88" max="88" width="17.88671875" style="38" hidden="1" customWidth="1"/>
    <col min="89" max="92" width="1" style="38" hidden="1" customWidth="1"/>
    <col min="93" max="93" width="17.88671875" style="38" hidden="1" customWidth="1"/>
    <col min="94" max="97" width="1" style="38" hidden="1" customWidth="1"/>
    <col min="98" max="98" width="17.88671875" style="38" hidden="1" customWidth="1"/>
    <col min="99" max="102" width="1" style="38" hidden="1" customWidth="1"/>
    <col min="103" max="103" width="17.88671875" style="38" hidden="1" customWidth="1"/>
    <col min="104" max="107" width="1" style="38" hidden="1" customWidth="1"/>
    <col min="108" max="108" width="17.88671875" style="38" hidden="1" customWidth="1"/>
    <col min="109" max="110" width="1" style="38" hidden="1" customWidth="1"/>
    <col min="111" max="111" width="1.5546875" style="38" customWidth="1"/>
    <col min="112" max="112" width="0.6640625" style="388" customWidth="1"/>
    <col min="113" max="113" width="1.88671875" style="38" customWidth="1"/>
    <col min="114" max="114" width="10.6640625" style="38" customWidth="1"/>
    <col min="115" max="115" width="13" style="38" hidden="1" customWidth="1"/>
    <col min="116" max="221" width="10" style="38"/>
    <col min="222" max="222" width="1.5546875" style="38" customWidth="1"/>
    <col min="223" max="223" width="1.44140625" style="38" customWidth="1"/>
    <col min="224" max="224" width="57.5546875" style="38" customWidth="1"/>
    <col min="225" max="225" width="2.6640625" style="38" customWidth="1"/>
    <col min="226" max="226" width="0" style="38" hidden="1" customWidth="1"/>
    <col min="227" max="228" width="1" style="38" customWidth="1"/>
    <col min="229" max="229" width="19.6640625" style="38" customWidth="1"/>
    <col min="230" max="231" width="1" style="38" customWidth="1"/>
    <col min="232" max="232" width="2" style="38" customWidth="1"/>
    <col min="233" max="233" width="1" style="38" customWidth="1"/>
    <col min="234" max="234" width="17.88671875" style="38" customWidth="1"/>
    <col min="235" max="238" width="1" style="38" customWidth="1"/>
    <col min="239" max="239" width="17.88671875" style="38" customWidth="1"/>
    <col min="240" max="243" width="1" style="38" customWidth="1"/>
    <col min="244" max="244" width="17.88671875" style="38" customWidth="1"/>
    <col min="245" max="248" width="1" style="38" customWidth="1"/>
    <col min="249" max="249" width="17.88671875" style="38" customWidth="1"/>
    <col min="250" max="253" width="1" style="38" customWidth="1"/>
    <col min="254" max="254" width="17.88671875" style="38" customWidth="1"/>
    <col min="255" max="258" width="1" style="38" customWidth="1"/>
    <col min="259" max="259" width="17.88671875" style="38" customWidth="1"/>
    <col min="260" max="263" width="1" style="38" customWidth="1"/>
    <col min="264" max="264" width="17.88671875" style="38" customWidth="1"/>
    <col min="265" max="268" width="1" style="38" customWidth="1"/>
    <col min="269" max="269" width="17.88671875" style="38" customWidth="1"/>
    <col min="270" max="273" width="1" style="38" customWidth="1"/>
    <col min="274" max="274" width="17.88671875" style="38" customWidth="1"/>
    <col min="275" max="278" width="1" style="38" customWidth="1"/>
    <col min="279" max="279" width="17.88671875" style="38" customWidth="1"/>
    <col min="280" max="283" width="1" style="38" customWidth="1"/>
    <col min="284" max="284" width="17.88671875" style="38" customWidth="1"/>
    <col min="285" max="288" width="1" style="38" customWidth="1"/>
    <col min="289" max="289" width="17.88671875" style="38" customWidth="1"/>
    <col min="290" max="293" width="1" style="38" customWidth="1"/>
    <col min="294" max="294" width="17.88671875" style="38" customWidth="1"/>
    <col min="295" max="298" width="1" style="38" customWidth="1"/>
    <col min="299" max="299" width="17.88671875" style="38" customWidth="1"/>
    <col min="300" max="301" width="1" style="38" customWidth="1"/>
    <col min="302" max="320" width="0" style="38" hidden="1" customWidth="1"/>
    <col min="321" max="321" width="1" style="38" customWidth="1"/>
    <col min="322" max="356" width="0" style="38" hidden="1" customWidth="1"/>
    <col min="357" max="358" width="1" style="38" customWidth="1"/>
    <col min="359" max="359" width="17.88671875" style="38" customWidth="1"/>
    <col min="360" max="363" width="1" style="38" customWidth="1"/>
    <col min="364" max="364" width="17.88671875" style="38" customWidth="1"/>
    <col min="365" max="366" width="1" style="38" customWidth="1"/>
    <col min="367" max="367" width="1.5546875" style="38" customWidth="1"/>
    <col min="368" max="368" width="0.6640625" style="38" customWidth="1"/>
    <col min="369" max="369" width="1.88671875" style="38" customWidth="1"/>
    <col min="370" max="370" width="10.6640625" style="38" customWidth="1"/>
    <col min="371" max="371" width="0" style="38" hidden="1" customWidth="1"/>
    <col min="372" max="477" width="10" style="38"/>
    <col min="478" max="478" width="1.5546875" style="38" customWidth="1"/>
    <col min="479" max="479" width="1.44140625" style="38" customWidth="1"/>
    <col min="480" max="480" width="57.5546875" style="38" customWidth="1"/>
    <col min="481" max="481" width="2.6640625" style="38" customWidth="1"/>
    <col min="482" max="482" width="0" style="38" hidden="1" customWidth="1"/>
    <col min="483" max="484" width="1" style="38" customWidth="1"/>
    <col min="485" max="485" width="19.6640625" style="38" customWidth="1"/>
    <col min="486" max="487" width="1" style="38" customWidth="1"/>
    <col min="488" max="488" width="2" style="38" customWidth="1"/>
    <col min="489" max="489" width="1" style="38" customWidth="1"/>
    <col min="490" max="490" width="17.88671875" style="38" customWidth="1"/>
    <col min="491" max="494" width="1" style="38" customWidth="1"/>
    <col min="495" max="495" width="17.88671875" style="38" customWidth="1"/>
    <col min="496" max="499" width="1" style="38" customWidth="1"/>
    <col min="500" max="500" width="17.88671875" style="38" customWidth="1"/>
    <col min="501" max="504" width="1" style="38" customWidth="1"/>
    <col min="505" max="505" width="17.88671875" style="38" customWidth="1"/>
    <col min="506" max="509" width="1" style="38" customWidth="1"/>
    <col min="510" max="510" width="17.88671875" style="38" customWidth="1"/>
    <col min="511" max="514" width="1" style="38" customWidth="1"/>
    <col min="515" max="515" width="17.88671875" style="38" customWidth="1"/>
    <col min="516" max="519" width="1" style="38" customWidth="1"/>
    <col min="520" max="520" width="17.88671875" style="38" customWidth="1"/>
    <col min="521" max="524" width="1" style="38" customWidth="1"/>
    <col min="525" max="525" width="17.88671875" style="38" customWidth="1"/>
    <col min="526" max="529" width="1" style="38" customWidth="1"/>
    <col min="530" max="530" width="17.88671875" style="38" customWidth="1"/>
    <col min="531" max="534" width="1" style="38" customWidth="1"/>
    <col min="535" max="535" width="17.88671875" style="38" customWidth="1"/>
    <col min="536" max="539" width="1" style="38" customWidth="1"/>
    <col min="540" max="540" width="17.88671875" style="38" customWidth="1"/>
    <col min="541" max="544" width="1" style="38" customWidth="1"/>
    <col min="545" max="545" width="17.88671875" style="38" customWidth="1"/>
    <col min="546" max="549" width="1" style="38" customWidth="1"/>
    <col min="550" max="550" width="17.88671875" style="38" customWidth="1"/>
    <col min="551" max="554" width="1" style="38" customWidth="1"/>
    <col min="555" max="555" width="17.88671875" style="38" customWidth="1"/>
    <col min="556" max="557" width="1" style="38" customWidth="1"/>
    <col min="558" max="576" width="0" style="38" hidden="1" customWidth="1"/>
    <col min="577" max="577" width="1" style="38" customWidth="1"/>
    <col min="578" max="612" width="0" style="38" hidden="1" customWidth="1"/>
    <col min="613" max="614" width="1" style="38" customWidth="1"/>
    <col min="615" max="615" width="17.88671875" style="38" customWidth="1"/>
    <col min="616" max="619" width="1" style="38" customWidth="1"/>
    <col min="620" max="620" width="17.88671875" style="38" customWidth="1"/>
    <col min="621" max="622" width="1" style="38" customWidth="1"/>
    <col min="623" max="623" width="1.5546875" style="38" customWidth="1"/>
    <col min="624" max="624" width="0.6640625" style="38" customWidth="1"/>
    <col min="625" max="625" width="1.88671875" style="38" customWidth="1"/>
    <col min="626" max="626" width="10.6640625" style="38" customWidth="1"/>
    <col min="627" max="627" width="0" style="38" hidden="1" customWidth="1"/>
    <col min="628" max="733" width="10" style="38"/>
    <col min="734" max="734" width="1.5546875" style="38" customWidth="1"/>
    <col min="735" max="735" width="1.44140625" style="38" customWidth="1"/>
    <col min="736" max="736" width="57.5546875" style="38" customWidth="1"/>
    <col min="737" max="737" width="2.6640625" style="38" customWidth="1"/>
    <col min="738" max="738" width="0" style="38" hidden="1" customWidth="1"/>
    <col min="739" max="740" width="1" style="38" customWidth="1"/>
    <col min="741" max="741" width="19.6640625" style="38" customWidth="1"/>
    <col min="742" max="743" width="1" style="38" customWidth="1"/>
    <col min="744" max="744" width="2" style="38" customWidth="1"/>
    <col min="745" max="745" width="1" style="38" customWidth="1"/>
    <col min="746" max="746" width="17.88671875" style="38" customWidth="1"/>
    <col min="747" max="750" width="1" style="38" customWidth="1"/>
    <col min="751" max="751" width="17.88671875" style="38" customWidth="1"/>
    <col min="752" max="755" width="1" style="38" customWidth="1"/>
    <col min="756" max="756" width="17.88671875" style="38" customWidth="1"/>
    <col min="757" max="760" width="1" style="38" customWidth="1"/>
    <col min="761" max="761" width="17.88671875" style="38" customWidth="1"/>
    <col min="762" max="765" width="1" style="38" customWidth="1"/>
    <col min="766" max="766" width="17.88671875" style="38" customWidth="1"/>
    <col min="767" max="770" width="1" style="38" customWidth="1"/>
    <col min="771" max="771" width="17.88671875" style="38" customWidth="1"/>
    <col min="772" max="775" width="1" style="38" customWidth="1"/>
    <col min="776" max="776" width="17.88671875" style="38" customWidth="1"/>
    <col min="777" max="780" width="1" style="38" customWidth="1"/>
    <col min="781" max="781" width="17.88671875" style="38" customWidth="1"/>
    <col min="782" max="785" width="1" style="38" customWidth="1"/>
    <col min="786" max="786" width="17.88671875" style="38" customWidth="1"/>
    <col min="787" max="790" width="1" style="38" customWidth="1"/>
    <col min="791" max="791" width="17.88671875" style="38" customWidth="1"/>
    <col min="792" max="795" width="1" style="38" customWidth="1"/>
    <col min="796" max="796" width="17.88671875" style="38" customWidth="1"/>
    <col min="797" max="800" width="1" style="38" customWidth="1"/>
    <col min="801" max="801" width="17.88671875" style="38" customWidth="1"/>
    <col min="802" max="805" width="1" style="38" customWidth="1"/>
    <col min="806" max="806" width="17.88671875" style="38" customWidth="1"/>
    <col min="807" max="810" width="1" style="38" customWidth="1"/>
    <col min="811" max="811" width="17.88671875" style="38" customWidth="1"/>
    <col min="812" max="813" width="1" style="38" customWidth="1"/>
    <col min="814" max="832" width="0" style="38" hidden="1" customWidth="1"/>
    <col min="833" max="833" width="1" style="38" customWidth="1"/>
    <col min="834" max="868" width="0" style="38" hidden="1" customWidth="1"/>
    <col min="869" max="870" width="1" style="38" customWidth="1"/>
    <col min="871" max="871" width="17.88671875" style="38" customWidth="1"/>
    <col min="872" max="875" width="1" style="38" customWidth="1"/>
    <col min="876" max="876" width="17.88671875" style="38" customWidth="1"/>
    <col min="877" max="878" width="1" style="38" customWidth="1"/>
    <col min="879" max="879" width="1.5546875" style="38" customWidth="1"/>
    <col min="880" max="880" width="0.6640625" style="38" customWidth="1"/>
    <col min="881" max="881" width="1.88671875" style="38" customWidth="1"/>
    <col min="882" max="882" width="10.6640625" style="38" customWidth="1"/>
    <col min="883" max="883" width="0" style="38" hidden="1" customWidth="1"/>
    <col min="884" max="989" width="10" style="38"/>
    <col min="990" max="990" width="1.5546875" style="38" customWidth="1"/>
    <col min="991" max="991" width="1.44140625" style="38" customWidth="1"/>
    <col min="992" max="992" width="57.5546875" style="38" customWidth="1"/>
    <col min="993" max="993" width="2.6640625" style="38" customWidth="1"/>
    <col min="994" max="994" width="0" style="38" hidden="1" customWidth="1"/>
    <col min="995" max="996" width="1" style="38" customWidth="1"/>
    <col min="997" max="997" width="19.6640625" style="38" customWidth="1"/>
    <col min="998" max="999" width="1" style="38" customWidth="1"/>
    <col min="1000" max="1000" width="2" style="38" customWidth="1"/>
    <col min="1001" max="1001" width="1" style="38" customWidth="1"/>
    <col min="1002" max="1002" width="17.88671875" style="38" customWidth="1"/>
    <col min="1003" max="1006" width="1" style="38" customWidth="1"/>
    <col min="1007" max="1007" width="17.88671875" style="38" customWidth="1"/>
    <col min="1008" max="1011" width="1" style="38" customWidth="1"/>
    <col min="1012" max="1012" width="17.88671875" style="38" customWidth="1"/>
    <col min="1013" max="1016" width="1" style="38" customWidth="1"/>
    <col min="1017" max="1017" width="17.88671875" style="38" customWidth="1"/>
    <col min="1018" max="1021" width="1" style="38" customWidth="1"/>
    <col min="1022" max="1022" width="17.88671875" style="38" customWidth="1"/>
    <col min="1023" max="1026" width="1" style="38" customWidth="1"/>
    <col min="1027" max="1027" width="17.88671875" style="38" customWidth="1"/>
    <col min="1028" max="1031" width="1" style="38" customWidth="1"/>
    <col min="1032" max="1032" width="17.88671875" style="38" customWidth="1"/>
    <col min="1033" max="1036" width="1" style="38" customWidth="1"/>
    <col min="1037" max="1037" width="17.88671875" style="38" customWidth="1"/>
    <col min="1038" max="1041" width="1" style="38" customWidth="1"/>
    <col min="1042" max="1042" width="17.88671875" style="38" customWidth="1"/>
    <col min="1043" max="1046" width="1" style="38" customWidth="1"/>
    <col min="1047" max="1047" width="17.88671875" style="38" customWidth="1"/>
    <col min="1048" max="1051" width="1" style="38" customWidth="1"/>
    <col min="1052" max="1052" width="17.88671875" style="38" customWidth="1"/>
    <col min="1053" max="1056" width="1" style="38" customWidth="1"/>
    <col min="1057" max="1057" width="17.88671875" style="38" customWidth="1"/>
    <col min="1058" max="1061" width="1" style="38" customWidth="1"/>
    <col min="1062" max="1062" width="17.88671875" style="38" customWidth="1"/>
    <col min="1063" max="1066" width="1" style="38" customWidth="1"/>
    <col min="1067" max="1067" width="17.88671875" style="38" customWidth="1"/>
    <col min="1068" max="1069" width="1" style="38" customWidth="1"/>
    <col min="1070" max="1088" width="0" style="38" hidden="1" customWidth="1"/>
    <col min="1089" max="1089" width="1" style="38" customWidth="1"/>
    <col min="1090" max="1124" width="0" style="38" hidden="1" customWidth="1"/>
    <col min="1125" max="1126" width="1" style="38" customWidth="1"/>
    <col min="1127" max="1127" width="17.88671875" style="38" customWidth="1"/>
    <col min="1128" max="1131" width="1" style="38" customWidth="1"/>
    <col min="1132" max="1132" width="17.88671875" style="38" customWidth="1"/>
    <col min="1133" max="1134" width="1" style="38" customWidth="1"/>
    <col min="1135" max="1135" width="1.5546875" style="38" customWidth="1"/>
    <col min="1136" max="1136" width="0.6640625" style="38" customWidth="1"/>
    <col min="1137" max="1137" width="1.88671875" style="38" customWidth="1"/>
    <col min="1138" max="1138" width="10.6640625" style="38" customWidth="1"/>
    <col min="1139" max="1139" width="0" style="38" hidden="1" customWidth="1"/>
    <col min="1140" max="1245" width="10" style="38"/>
    <col min="1246" max="1246" width="1.5546875" style="38" customWidth="1"/>
    <col min="1247" max="1247" width="1.44140625" style="38" customWidth="1"/>
    <col min="1248" max="1248" width="57.5546875" style="38" customWidth="1"/>
    <col min="1249" max="1249" width="2.6640625" style="38" customWidth="1"/>
    <col min="1250" max="1250" width="0" style="38" hidden="1" customWidth="1"/>
    <col min="1251" max="1252" width="1" style="38" customWidth="1"/>
    <col min="1253" max="1253" width="19.6640625" style="38" customWidth="1"/>
    <col min="1254" max="1255" width="1" style="38" customWidth="1"/>
    <col min="1256" max="1256" width="2" style="38" customWidth="1"/>
    <col min="1257" max="1257" width="1" style="38" customWidth="1"/>
    <col min="1258" max="1258" width="17.88671875" style="38" customWidth="1"/>
    <col min="1259" max="1262" width="1" style="38" customWidth="1"/>
    <col min="1263" max="1263" width="17.88671875" style="38" customWidth="1"/>
    <col min="1264" max="1267" width="1" style="38" customWidth="1"/>
    <col min="1268" max="1268" width="17.88671875" style="38" customWidth="1"/>
    <col min="1269" max="1272" width="1" style="38" customWidth="1"/>
    <col min="1273" max="1273" width="17.88671875" style="38" customWidth="1"/>
    <col min="1274" max="1277" width="1" style="38" customWidth="1"/>
    <col min="1278" max="1278" width="17.88671875" style="38" customWidth="1"/>
    <col min="1279" max="1282" width="1" style="38" customWidth="1"/>
    <col min="1283" max="1283" width="17.88671875" style="38" customWidth="1"/>
    <col min="1284" max="1287" width="1" style="38" customWidth="1"/>
    <col min="1288" max="1288" width="17.88671875" style="38" customWidth="1"/>
    <col min="1289" max="1292" width="1" style="38" customWidth="1"/>
    <col min="1293" max="1293" width="17.88671875" style="38" customWidth="1"/>
    <col min="1294" max="1297" width="1" style="38" customWidth="1"/>
    <col min="1298" max="1298" width="17.88671875" style="38" customWidth="1"/>
    <col min="1299" max="1302" width="1" style="38" customWidth="1"/>
    <col min="1303" max="1303" width="17.88671875" style="38" customWidth="1"/>
    <col min="1304" max="1307" width="1" style="38" customWidth="1"/>
    <col min="1308" max="1308" width="17.88671875" style="38" customWidth="1"/>
    <col min="1309" max="1312" width="1" style="38" customWidth="1"/>
    <col min="1313" max="1313" width="17.88671875" style="38" customWidth="1"/>
    <col min="1314" max="1317" width="1" style="38" customWidth="1"/>
    <col min="1318" max="1318" width="17.88671875" style="38" customWidth="1"/>
    <col min="1319" max="1322" width="1" style="38" customWidth="1"/>
    <col min="1323" max="1323" width="17.88671875" style="38" customWidth="1"/>
    <col min="1324" max="1325" width="1" style="38" customWidth="1"/>
    <col min="1326" max="1344" width="0" style="38" hidden="1" customWidth="1"/>
    <col min="1345" max="1345" width="1" style="38" customWidth="1"/>
    <col min="1346" max="1380" width="0" style="38" hidden="1" customWidth="1"/>
    <col min="1381" max="1382" width="1" style="38" customWidth="1"/>
    <col min="1383" max="1383" width="17.88671875" style="38" customWidth="1"/>
    <col min="1384" max="1387" width="1" style="38" customWidth="1"/>
    <col min="1388" max="1388" width="17.88671875" style="38" customWidth="1"/>
    <col min="1389" max="1390" width="1" style="38" customWidth="1"/>
    <col min="1391" max="1391" width="1.5546875" style="38" customWidth="1"/>
    <col min="1392" max="1392" width="0.6640625" style="38" customWidth="1"/>
    <col min="1393" max="1393" width="1.88671875" style="38" customWidth="1"/>
    <col min="1394" max="1394" width="10.6640625" style="38" customWidth="1"/>
    <col min="1395" max="1395" width="0" style="38" hidden="1" customWidth="1"/>
    <col min="1396" max="1501" width="10" style="38"/>
    <col min="1502" max="1502" width="1.5546875" style="38" customWidth="1"/>
    <col min="1503" max="1503" width="1.44140625" style="38" customWidth="1"/>
    <col min="1504" max="1504" width="57.5546875" style="38" customWidth="1"/>
    <col min="1505" max="1505" width="2.6640625" style="38" customWidth="1"/>
    <col min="1506" max="1506" width="0" style="38" hidden="1" customWidth="1"/>
    <col min="1507" max="1508" width="1" style="38" customWidth="1"/>
    <col min="1509" max="1509" width="19.6640625" style="38" customWidth="1"/>
    <col min="1510" max="1511" width="1" style="38" customWidth="1"/>
    <col min="1512" max="1512" width="2" style="38" customWidth="1"/>
    <col min="1513" max="1513" width="1" style="38" customWidth="1"/>
    <col min="1514" max="1514" width="17.88671875" style="38" customWidth="1"/>
    <col min="1515" max="1518" width="1" style="38" customWidth="1"/>
    <col min="1519" max="1519" width="17.88671875" style="38" customWidth="1"/>
    <col min="1520" max="1523" width="1" style="38" customWidth="1"/>
    <col min="1524" max="1524" width="17.88671875" style="38" customWidth="1"/>
    <col min="1525" max="1528" width="1" style="38" customWidth="1"/>
    <col min="1529" max="1529" width="17.88671875" style="38" customWidth="1"/>
    <col min="1530" max="1533" width="1" style="38" customWidth="1"/>
    <col min="1534" max="1534" width="17.88671875" style="38" customWidth="1"/>
    <col min="1535" max="1538" width="1" style="38" customWidth="1"/>
    <col min="1539" max="1539" width="17.88671875" style="38" customWidth="1"/>
    <col min="1540" max="1543" width="1" style="38" customWidth="1"/>
    <col min="1544" max="1544" width="17.88671875" style="38" customWidth="1"/>
    <col min="1545" max="1548" width="1" style="38" customWidth="1"/>
    <col min="1549" max="1549" width="17.88671875" style="38" customWidth="1"/>
    <col min="1550" max="1553" width="1" style="38" customWidth="1"/>
    <col min="1554" max="1554" width="17.88671875" style="38" customWidth="1"/>
    <col min="1555" max="1558" width="1" style="38" customWidth="1"/>
    <col min="1559" max="1559" width="17.88671875" style="38" customWidth="1"/>
    <col min="1560" max="1563" width="1" style="38" customWidth="1"/>
    <col min="1564" max="1564" width="17.88671875" style="38" customWidth="1"/>
    <col min="1565" max="1568" width="1" style="38" customWidth="1"/>
    <col min="1569" max="1569" width="17.88671875" style="38" customWidth="1"/>
    <col min="1570" max="1573" width="1" style="38" customWidth="1"/>
    <col min="1574" max="1574" width="17.88671875" style="38" customWidth="1"/>
    <col min="1575" max="1578" width="1" style="38" customWidth="1"/>
    <col min="1579" max="1579" width="17.88671875" style="38" customWidth="1"/>
    <col min="1580" max="1581" width="1" style="38" customWidth="1"/>
    <col min="1582" max="1600" width="0" style="38" hidden="1" customWidth="1"/>
    <col min="1601" max="1601" width="1" style="38" customWidth="1"/>
    <col min="1602" max="1636" width="0" style="38" hidden="1" customWidth="1"/>
    <col min="1637" max="1638" width="1" style="38" customWidth="1"/>
    <col min="1639" max="1639" width="17.88671875" style="38" customWidth="1"/>
    <col min="1640" max="1643" width="1" style="38" customWidth="1"/>
    <col min="1644" max="1644" width="17.88671875" style="38" customWidth="1"/>
    <col min="1645" max="1646" width="1" style="38" customWidth="1"/>
    <col min="1647" max="1647" width="1.5546875" style="38" customWidth="1"/>
    <col min="1648" max="1648" width="0.6640625" style="38" customWidth="1"/>
    <col min="1649" max="1649" width="1.88671875" style="38" customWidth="1"/>
    <col min="1650" max="1650" width="10.6640625" style="38" customWidth="1"/>
    <col min="1651" max="1651" width="0" style="38" hidden="1" customWidth="1"/>
    <col min="1652" max="1757" width="10" style="38"/>
    <col min="1758" max="1758" width="1.5546875" style="38" customWidth="1"/>
    <col min="1759" max="1759" width="1.44140625" style="38" customWidth="1"/>
    <col min="1760" max="1760" width="57.5546875" style="38" customWidth="1"/>
    <col min="1761" max="1761" width="2.6640625" style="38" customWidth="1"/>
    <col min="1762" max="1762" width="0" style="38" hidden="1" customWidth="1"/>
    <col min="1763" max="1764" width="1" style="38" customWidth="1"/>
    <col min="1765" max="1765" width="19.6640625" style="38" customWidth="1"/>
    <col min="1766" max="1767" width="1" style="38" customWidth="1"/>
    <col min="1768" max="1768" width="2" style="38" customWidth="1"/>
    <col min="1769" max="1769" width="1" style="38" customWidth="1"/>
    <col min="1770" max="1770" width="17.88671875" style="38" customWidth="1"/>
    <col min="1771" max="1774" width="1" style="38" customWidth="1"/>
    <col min="1775" max="1775" width="17.88671875" style="38" customWidth="1"/>
    <col min="1776" max="1779" width="1" style="38" customWidth="1"/>
    <col min="1780" max="1780" width="17.88671875" style="38" customWidth="1"/>
    <col min="1781" max="1784" width="1" style="38" customWidth="1"/>
    <col min="1785" max="1785" width="17.88671875" style="38" customWidth="1"/>
    <col min="1786" max="1789" width="1" style="38" customWidth="1"/>
    <col min="1790" max="1790" width="17.88671875" style="38" customWidth="1"/>
    <col min="1791" max="1794" width="1" style="38" customWidth="1"/>
    <col min="1795" max="1795" width="17.88671875" style="38" customWidth="1"/>
    <col min="1796" max="1799" width="1" style="38" customWidth="1"/>
    <col min="1800" max="1800" width="17.88671875" style="38" customWidth="1"/>
    <col min="1801" max="1804" width="1" style="38" customWidth="1"/>
    <col min="1805" max="1805" width="17.88671875" style="38" customWidth="1"/>
    <col min="1806" max="1809" width="1" style="38" customWidth="1"/>
    <col min="1810" max="1810" width="17.88671875" style="38" customWidth="1"/>
    <col min="1811" max="1814" width="1" style="38" customWidth="1"/>
    <col min="1815" max="1815" width="17.88671875" style="38" customWidth="1"/>
    <col min="1816" max="1819" width="1" style="38" customWidth="1"/>
    <col min="1820" max="1820" width="17.88671875" style="38" customWidth="1"/>
    <col min="1821" max="1824" width="1" style="38" customWidth="1"/>
    <col min="1825" max="1825" width="17.88671875" style="38" customWidth="1"/>
    <col min="1826" max="1829" width="1" style="38" customWidth="1"/>
    <col min="1830" max="1830" width="17.88671875" style="38" customWidth="1"/>
    <col min="1831" max="1834" width="1" style="38" customWidth="1"/>
    <col min="1835" max="1835" width="17.88671875" style="38" customWidth="1"/>
    <col min="1836" max="1837" width="1" style="38" customWidth="1"/>
    <col min="1838" max="1856" width="0" style="38" hidden="1" customWidth="1"/>
    <col min="1857" max="1857" width="1" style="38" customWidth="1"/>
    <col min="1858" max="1892" width="0" style="38" hidden="1" customWidth="1"/>
    <col min="1893" max="1894" width="1" style="38" customWidth="1"/>
    <col min="1895" max="1895" width="17.88671875" style="38" customWidth="1"/>
    <col min="1896" max="1899" width="1" style="38" customWidth="1"/>
    <col min="1900" max="1900" width="17.88671875" style="38" customWidth="1"/>
    <col min="1901" max="1902" width="1" style="38" customWidth="1"/>
    <col min="1903" max="1903" width="1.5546875" style="38" customWidth="1"/>
    <col min="1904" max="1904" width="0.6640625" style="38" customWidth="1"/>
    <col min="1905" max="1905" width="1.88671875" style="38" customWidth="1"/>
    <col min="1906" max="1906" width="10.6640625" style="38" customWidth="1"/>
    <col min="1907" max="1907" width="0" style="38" hidden="1" customWidth="1"/>
    <col min="1908" max="2013" width="10" style="38"/>
    <col min="2014" max="2014" width="1.5546875" style="38" customWidth="1"/>
    <col min="2015" max="2015" width="1.44140625" style="38" customWidth="1"/>
    <col min="2016" max="2016" width="57.5546875" style="38" customWidth="1"/>
    <col min="2017" max="2017" width="2.6640625" style="38" customWidth="1"/>
    <col min="2018" max="2018" width="0" style="38" hidden="1" customWidth="1"/>
    <col min="2019" max="2020" width="1" style="38" customWidth="1"/>
    <col min="2021" max="2021" width="19.6640625" style="38" customWidth="1"/>
    <col min="2022" max="2023" width="1" style="38" customWidth="1"/>
    <col min="2024" max="2024" width="2" style="38" customWidth="1"/>
    <col min="2025" max="2025" width="1" style="38" customWidth="1"/>
    <col min="2026" max="2026" width="17.88671875" style="38" customWidth="1"/>
    <col min="2027" max="2030" width="1" style="38" customWidth="1"/>
    <col min="2031" max="2031" width="17.88671875" style="38" customWidth="1"/>
    <col min="2032" max="2035" width="1" style="38" customWidth="1"/>
    <col min="2036" max="2036" width="17.88671875" style="38" customWidth="1"/>
    <col min="2037" max="2040" width="1" style="38" customWidth="1"/>
    <col min="2041" max="2041" width="17.88671875" style="38" customWidth="1"/>
    <col min="2042" max="2045" width="1" style="38" customWidth="1"/>
    <col min="2046" max="2046" width="17.88671875" style="38" customWidth="1"/>
    <col min="2047" max="2050" width="1" style="38" customWidth="1"/>
    <col min="2051" max="2051" width="17.88671875" style="38" customWidth="1"/>
    <col min="2052" max="2055" width="1" style="38" customWidth="1"/>
    <col min="2056" max="2056" width="17.88671875" style="38" customWidth="1"/>
    <col min="2057" max="2060" width="1" style="38" customWidth="1"/>
    <col min="2061" max="2061" width="17.88671875" style="38" customWidth="1"/>
    <col min="2062" max="2065" width="1" style="38" customWidth="1"/>
    <col min="2066" max="2066" width="17.88671875" style="38" customWidth="1"/>
    <col min="2067" max="2070" width="1" style="38" customWidth="1"/>
    <col min="2071" max="2071" width="17.88671875" style="38" customWidth="1"/>
    <col min="2072" max="2075" width="1" style="38" customWidth="1"/>
    <col min="2076" max="2076" width="17.88671875" style="38" customWidth="1"/>
    <col min="2077" max="2080" width="1" style="38" customWidth="1"/>
    <col min="2081" max="2081" width="17.88671875" style="38" customWidth="1"/>
    <col min="2082" max="2085" width="1" style="38" customWidth="1"/>
    <col min="2086" max="2086" width="17.88671875" style="38" customWidth="1"/>
    <col min="2087" max="2090" width="1" style="38" customWidth="1"/>
    <col min="2091" max="2091" width="17.88671875" style="38" customWidth="1"/>
    <col min="2092" max="2093" width="1" style="38" customWidth="1"/>
    <col min="2094" max="2112" width="0" style="38" hidden="1" customWidth="1"/>
    <col min="2113" max="2113" width="1" style="38" customWidth="1"/>
    <col min="2114" max="2148" width="0" style="38" hidden="1" customWidth="1"/>
    <col min="2149" max="2150" width="1" style="38" customWidth="1"/>
    <col min="2151" max="2151" width="17.88671875" style="38" customWidth="1"/>
    <col min="2152" max="2155" width="1" style="38" customWidth="1"/>
    <col min="2156" max="2156" width="17.88671875" style="38" customWidth="1"/>
    <col min="2157" max="2158" width="1" style="38" customWidth="1"/>
    <col min="2159" max="2159" width="1.5546875" style="38" customWidth="1"/>
    <col min="2160" max="2160" width="0.6640625" style="38" customWidth="1"/>
    <col min="2161" max="2161" width="1.88671875" style="38" customWidth="1"/>
    <col min="2162" max="2162" width="10.6640625" style="38" customWidth="1"/>
    <col min="2163" max="2163" width="0" style="38" hidden="1" customWidth="1"/>
    <col min="2164" max="2269" width="10" style="38"/>
    <col min="2270" max="2270" width="1.5546875" style="38" customWidth="1"/>
    <col min="2271" max="2271" width="1.44140625" style="38" customWidth="1"/>
    <col min="2272" max="2272" width="57.5546875" style="38" customWidth="1"/>
    <col min="2273" max="2273" width="2.6640625" style="38" customWidth="1"/>
    <col min="2274" max="2274" width="0" style="38" hidden="1" customWidth="1"/>
    <col min="2275" max="2276" width="1" style="38" customWidth="1"/>
    <col min="2277" max="2277" width="19.6640625" style="38" customWidth="1"/>
    <col min="2278" max="2279" width="1" style="38" customWidth="1"/>
    <col min="2280" max="2280" width="2" style="38" customWidth="1"/>
    <col min="2281" max="2281" width="1" style="38" customWidth="1"/>
    <col min="2282" max="2282" width="17.88671875" style="38" customWidth="1"/>
    <col min="2283" max="2286" width="1" style="38" customWidth="1"/>
    <col min="2287" max="2287" width="17.88671875" style="38" customWidth="1"/>
    <col min="2288" max="2291" width="1" style="38" customWidth="1"/>
    <col min="2292" max="2292" width="17.88671875" style="38" customWidth="1"/>
    <col min="2293" max="2296" width="1" style="38" customWidth="1"/>
    <col min="2297" max="2297" width="17.88671875" style="38" customWidth="1"/>
    <col min="2298" max="2301" width="1" style="38" customWidth="1"/>
    <col min="2302" max="2302" width="17.88671875" style="38" customWidth="1"/>
    <col min="2303" max="2306" width="1" style="38" customWidth="1"/>
    <col min="2307" max="2307" width="17.88671875" style="38" customWidth="1"/>
    <col min="2308" max="2311" width="1" style="38" customWidth="1"/>
    <col min="2312" max="2312" width="17.88671875" style="38" customWidth="1"/>
    <col min="2313" max="2316" width="1" style="38" customWidth="1"/>
    <col min="2317" max="2317" width="17.88671875" style="38" customWidth="1"/>
    <col min="2318" max="2321" width="1" style="38" customWidth="1"/>
    <col min="2322" max="2322" width="17.88671875" style="38" customWidth="1"/>
    <col min="2323" max="2326" width="1" style="38" customWidth="1"/>
    <col min="2327" max="2327" width="17.88671875" style="38" customWidth="1"/>
    <col min="2328" max="2331" width="1" style="38" customWidth="1"/>
    <col min="2332" max="2332" width="17.88671875" style="38" customWidth="1"/>
    <col min="2333" max="2336" width="1" style="38" customWidth="1"/>
    <col min="2337" max="2337" width="17.88671875" style="38" customWidth="1"/>
    <col min="2338" max="2341" width="1" style="38" customWidth="1"/>
    <col min="2342" max="2342" width="17.88671875" style="38" customWidth="1"/>
    <col min="2343" max="2346" width="1" style="38" customWidth="1"/>
    <col min="2347" max="2347" width="17.88671875" style="38" customWidth="1"/>
    <col min="2348" max="2349" width="1" style="38" customWidth="1"/>
    <col min="2350" max="2368" width="0" style="38" hidden="1" customWidth="1"/>
    <col min="2369" max="2369" width="1" style="38" customWidth="1"/>
    <col min="2370" max="2404" width="0" style="38" hidden="1" customWidth="1"/>
    <col min="2405" max="2406" width="1" style="38" customWidth="1"/>
    <col min="2407" max="2407" width="17.88671875" style="38" customWidth="1"/>
    <col min="2408" max="2411" width="1" style="38" customWidth="1"/>
    <col min="2412" max="2412" width="17.88671875" style="38" customWidth="1"/>
    <col min="2413" max="2414" width="1" style="38" customWidth="1"/>
    <col min="2415" max="2415" width="1.5546875" style="38" customWidth="1"/>
    <col min="2416" max="2416" width="0.6640625" style="38" customWidth="1"/>
    <col min="2417" max="2417" width="1.88671875" style="38" customWidth="1"/>
    <col min="2418" max="2418" width="10.6640625" style="38" customWidth="1"/>
    <col min="2419" max="2419" width="0" style="38" hidden="1" customWidth="1"/>
    <col min="2420" max="2525" width="10" style="38"/>
    <col min="2526" max="2526" width="1.5546875" style="38" customWidth="1"/>
    <col min="2527" max="2527" width="1.44140625" style="38" customWidth="1"/>
    <col min="2528" max="2528" width="57.5546875" style="38" customWidth="1"/>
    <col min="2529" max="2529" width="2.6640625" style="38" customWidth="1"/>
    <col min="2530" max="2530" width="0" style="38" hidden="1" customWidth="1"/>
    <col min="2531" max="2532" width="1" style="38" customWidth="1"/>
    <col min="2533" max="2533" width="19.6640625" style="38" customWidth="1"/>
    <col min="2534" max="2535" width="1" style="38" customWidth="1"/>
    <col min="2536" max="2536" width="2" style="38" customWidth="1"/>
    <col min="2537" max="2537" width="1" style="38" customWidth="1"/>
    <col min="2538" max="2538" width="17.88671875" style="38" customWidth="1"/>
    <col min="2539" max="2542" width="1" style="38" customWidth="1"/>
    <col min="2543" max="2543" width="17.88671875" style="38" customWidth="1"/>
    <col min="2544" max="2547" width="1" style="38" customWidth="1"/>
    <col min="2548" max="2548" width="17.88671875" style="38" customWidth="1"/>
    <col min="2549" max="2552" width="1" style="38" customWidth="1"/>
    <col min="2553" max="2553" width="17.88671875" style="38" customWidth="1"/>
    <col min="2554" max="2557" width="1" style="38" customWidth="1"/>
    <col min="2558" max="2558" width="17.88671875" style="38" customWidth="1"/>
    <col min="2559" max="2562" width="1" style="38" customWidth="1"/>
    <col min="2563" max="2563" width="17.88671875" style="38" customWidth="1"/>
    <col min="2564" max="2567" width="1" style="38" customWidth="1"/>
    <col min="2568" max="2568" width="17.88671875" style="38" customWidth="1"/>
    <col min="2569" max="2572" width="1" style="38" customWidth="1"/>
    <col min="2573" max="2573" width="17.88671875" style="38" customWidth="1"/>
    <col min="2574" max="2577" width="1" style="38" customWidth="1"/>
    <col min="2578" max="2578" width="17.88671875" style="38" customWidth="1"/>
    <col min="2579" max="2582" width="1" style="38" customWidth="1"/>
    <col min="2583" max="2583" width="17.88671875" style="38" customWidth="1"/>
    <col min="2584" max="2587" width="1" style="38" customWidth="1"/>
    <col min="2588" max="2588" width="17.88671875" style="38" customWidth="1"/>
    <col min="2589" max="2592" width="1" style="38" customWidth="1"/>
    <col min="2593" max="2593" width="17.88671875" style="38" customWidth="1"/>
    <col min="2594" max="2597" width="1" style="38" customWidth="1"/>
    <col min="2598" max="2598" width="17.88671875" style="38" customWidth="1"/>
    <col min="2599" max="2602" width="1" style="38" customWidth="1"/>
    <col min="2603" max="2603" width="17.88671875" style="38" customWidth="1"/>
    <col min="2604" max="2605" width="1" style="38" customWidth="1"/>
    <col min="2606" max="2624" width="0" style="38" hidden="1" customWidth="1"/>
    <col min="2625" max="2625" width="1" style="38" customWidth="1"/>
    <col min="2626" max="2660" width="0" style="38" hidden="1" customWidth="1"/>
    <col min="2661" max="2662" width="1" style="38" customWidth="1"/>
    <col min="2663" max="2663" width="17.88671875" style="38" customWidth="1"/>
    <col min="2664" max="2667" width="1" style="38" customWidth="1"/>
    <col min="2668" max="2668" width="17.88671875" style="38" customWidth="1"/>
    <col min="2669" max="2670" width="1" style="38" customWidth="1"/>
    <col min="2671" max="2671" width="1.5546875" style="38" customWidth="1"/>
    <col min="2672" max="2672" width="0.6640625" style="38" customWidth="1"/>
    <col min="2673" max="2673" width="1.88671875" style="38" customWidth="1"/>
    <col min="2674" max="2674" width="10.6640625" style="38" customWidth="1"/>
    <col min="2675" max="2675" width="0" style="38" hidden="1" customWidth="1"/>
    <col min="2676" max="2781" width="10" style="38"/>
    <col min="2782" max="2782" width="1.5546875" style="38" customWidth="1"/>
    <col min="2783" max="2783" width="1.44140625" style="38" customWidth="1"/>
    <col min="2784" max="2784" width="57.5546875" style="38" customWidth="1"/>
    <col min="2785" max="2785" width="2.6640625" style="38" customWidth="1"/>
    <col min="2786" max="2786" width="0" style="38" hidden="1" customWidth="1"/>
    <col min="2787" max="2788" width="1" style="38" customWidth="1"/>
    <col min="2789" max="2789" width="19.6640625" style="38" customWidth="1"/>
    <col min="2790" max="2791" width="1" style="38" customWidth="1"/>
    <col min="2792" max="2792" width="2" style="38" customWidth="1"/>
    <col min="2793" max="2793" width="1" style="38" customWidth="1"/>
    <col min="2794" max="2794" width="17.88671875" style="38" customWidth="1"/>
    <col min="2795" max="2798" width="1" style="38" customWidth="1"/>
    <col min="2799" max="2799" width="17.88671875" style="38" customWidth="1"/>
    <col min="2800" max="2803" width="1" style="38" customWidth="1"/>
    <col min="2804" max="2804" width="17.88671875" style="38" customWidth="1"/>
    <col min="2805" max="2808" width="1" style="38" customWidth="1"/>
    <col min="2809" max="2809" width="17.88671875" style="38" customWidth="1"/>
    <col min="2810" max="2813" width="1" style="38" customWidth="1"/>
    <col min="2814" max="2814" width="17.88671875" style="38" customWidth="1"/>
    <col min="2815" max="2818" width="1" style="38" customWidth="1"/>
    <col min="2819" max="2819" width="17.88671875" style="38" customWidth="1"/>
    <col min="2820" max="2823" width="1" style="38" customWidth="1"/>
    <col min="2824" max="2824" width="17.88671875" style="38" customWidth="1"/>
    <col min="2825" max="2828" width="1" style="38" customWidth="1"/>
    <col min="2829" max="2829" width="17.88671875" style="38" customWidth="1"/>
    <col min="2830" max="2833" width="1" style="38" customWidth="1"/>
    <col min="2834" max="2834" width="17.88671875" style="38" customWidth="1"/>
    <col min="2835" max="2838" width="1" style="38" customWidth="1"/>
    <col min="2839" max="2839" width="17.88671875" style="38" customWidth="1"/>
    <col min="2840" max="2843" width="1" style="38" customWidth="1"/>
    <col min="2844" max="2844" width="17.88671875" style="38" customWidth="1"/>
    <col min="2845" max="2848" width="1" style="38" customWidth="1"/>
    <col min="2849" max="2849" width="17.88671875" style="38" customWidth="1"/>
    <col min="2850" max="2853" width="1" style="38" customWidth="1"/>
    <col min="2854" max="2854" width="17.88671875" style="38" customWidth="1"/>
    <col min="2855" max="2858" width="1" style="38" customWidth="1"/>
    <col min="2859" max="2859" width="17.88671875" style="38" customWidth="1"/>
    <col min="2860" max="2861" width="1" style="38" customWidth="1"/>
    <col min="2862" max="2880" width="0" style="38" hidden="1" customWidth="1"/>
    <col min="2881" max="2881" width="1" style="38" customWidth="1"/>
    <col min="2882" max="2916" width="0" style="38" hidden="1" customWidth="1"/>
    <col min="2917" max="2918" width="1" style="38" customWidth="1"/>
    <col min="2919" max="2919" width="17.88671875" style="38" customWidth="1"/>
    <col min="2920" max="2923" width="1" style="38" customWidth="1"/>
    <col min="2924" max="2924" width="17.88671875" style="38" customWidth="1"/>
    <col min="2925" max="2926" width="1" style="38" customWidth="1"/>
    <col min="2927" max="2927" width="1.5546875" style="38" customWidth="1"/>
    <col min="2928" max="2928" width="0.6640625" style="38" customWidth="1"/>
    <col min="2929" max="2929" width="1.88671875" style="38" customWidth="1"/>
    <col min="2930" max="2930" width="10.6640625" style="38" customWidth="1"/>
    <col min="2931" max="2931" width="0" style="38" hidden="1" customWidth="1"/>
    <col min="2932" max="3037" width="10" style="38"/>
    <col min="3038" max="3038" width="1.5546875" style="38" customWidth="1"/>
    <col min="3039" max="3039" width="1.44140625" style="38" customWidth="1"/>
    <col min="3040" max="3040" width="57.5546875" style="38" customWidth="1"/>
    <col min="3041" max="3041" width="2.6640625" style="38" customWidth="1"/>
    <col min="3042" max="3042" width="0" style="38" hidden="1" customWidth="1"/>
    <col min="3043" max="3044" width="1" style="38" customWidth="1"/>
    <col min="3045" max="3045" width="19.6640625" style="38" customWidth="1"/>
    <col min="3046" max="3047" width="1" style="38" customWidth="1"/>
    <col min="3048" max="3048" width="2" style="38" customWidth="1"/>
    <col min="3049" max="3049" width="1" style="38" customWidth="1"/>
    <col min="3050" max="3050" width="17.88671875" style="38" customWidth="1"/>
    <col min="3051" max="3054" width="1" style="38" customWidth="1"/>
    <col min="3055" max="3055" width="17.88671875" style="38" customWidth="1"/>
    <col min="3056" max="3059" width="1" style="38" customWidth="1"/>
    <col min="3060" max="3060" width="17.88671875" style="38" customWidth="1"/>
    <col min="3061" max="3064" width="1" style="38" customWidth="1"/>
    <col min="3065" max="3065" width="17.88671875" style="38" customWidth="1"/>
    <col min="3066" max="3069" width="1" style="38" customWidth="1"/>
    <col min="3070" max="3070" width="17.88671875" style="38" customWidth="1"/>
    <col min="3071" max="3074" width="1" style="38" customWidth="1"/>
    <col min="3075" max="3075" width="17.88671875" style="38" customWidth="1"/>
    <col min="3076" max="3079" width="1" style="38" customWidth="1"/>
    <col min="3080" max="3080" width="17.88671875" style="38" customWidth="1"/>
    <col min="3081" max="3084" width="1" style="38" customWidth="1"/>
    <col min="3085" max="3085" width="17.88671875" style="38" customWidth="1"/>
    <col min="3086" max="3089" width="1" style="38" customWidth="1"/>
    <col min="3090" max="3090" width="17.88671875" style="38" customWidth="1"/>
    <col min="3091" max="3094" width="1" style="38" customWidth="1"/>
    <col min="3095" max="3095" width="17.88671875" style="38" customWidth="1"/>
    <col min="3096" max="3099" width="1" style="38" customWidth="1"/>
    <col min="3100" max="3100" width="17.88671875" style="38" customWidth="1"/>
    <col min="3101" max="3104" width="1" style="38" customWidth="1"/>
    <col min="3105" max="3105" width="17.88671875" style="38" customWidth="1"/>
    <col min="3106" max="3109" width="1" style="38" customWidth="1"/>
    <col min="3110" max="3110" width="17.88671875" style="38" customWidth="1"/>
    <col min="3111" max="3114" width="1" style="38" customWidth="1"/>
    <col min="3115" max="3115" width="17.88671875" style="38" customWidth="1"/>
    <col min="3116" max="3117" width="1" style="38" customWidth="1"/>
    <col min="3118" max="3136" width="0" style="38" hidden="1" customWidth="1"/>
    <col min="3137" max="3137" width="1" style="38" customWidth="1"/>
    <col min="3138" max="3172" width="0" style="38" hidden="1" customWidth="1"/>
    <col min="3173" max="3174" width="1" style="38" customWidth="1"/>
    <col min="3175" max="3175" width="17.88671875" style="38" customWidth="1"/>
    <col min="3176" max="3179" width="1" style="38" customWidth="1"/>
    <col min="3180" max="3180" width="17.88671875" style="38" customWidth="1"/>
    <col min="3181" max="3182" width="1" style="38" customWidth="1"/>
    <col min="3183" max="3183" width="1.5546875" style="38" customWidth="1"/>
    <col min="3184" max="3184" width="0.6640625" style="38" customWidth="1"/>
    <col min="3185" max="3185" width="1.88671875" style="38" customWidth="1"/>
    <col min="3186" max="3186" width="10.6640625" style="38" customWidth="1"/>
    <col min="3187" max="3187" width="0" style="38" hidden="1" customWidth="1"/>
    <col min="3188" max="3293" width="10" style="38"/>
    <col min="3294" max="3294" width="1.5546875" style="38" customWidth="1"/>
    <col min="3295" max="3295" width="1.44140625" style="38" customWidth="1"/>
    <col min="3296" max="3296" width="57.5546875" style="38" customWidth="1"/>
    <col min="3297" max="3297" width="2.6640625" style="38" customWidth="1"/>
    <col min="3298" max="3298" width="0" style="38" hidden="1" customWidth="1"/>
    <col min="3299" max="3300" width="1" style="38" customWidth="1"/>
    <col min="3301" max="3301" width="19.6640625" style="38" customWidth="1"/>
    <col min="3302" max="3303" width="1" style="38" customWidth="1"/>
    <col min="3304" max="3304" width="2" style="38" customWidth="1"/>
    <col min="3305" max="3305" width="1" style="38" customWidth="1"/>
    <col min="3306" max="3306" width="17.88671875" style="38" customWidth="1"/>
    <col min="3307" max="3310" width="1" style="38" customWidth="1"/>
    <col min="3311" max="3311" width="17.88671875" style="38" customWidth="1"/>
    <col min="3312" max="3315" width="1" style="38" customWidth="1"/>
    <col min="3316" max="3316" width="17.88671875" style="38" customWidth="1"/>
    <col min="3317" max="3320" width="1" style="38" customWidth="1"/>
    <col min="3321" max="3321" width="17.88671875" style="38" customWidth="1"/>
    <col min="3322" max="3325" width="1" style="38" customWidth="1"/>
    <col min="3326" max="3326" width="17.88671875" style="38" customWidth="1"/>
    <col min="3327" max="3330" width="1" style="38" customWidth="1"/>
    <col min="3331" max="3331" width="17.88671875" style="38" customWidth="1"/>
    <col min="3332" max="3335" width="1" style="38" customWidth="1"/>
    <col min="3336" max="3336" width="17.88671875" style="38" customWidth="1"/>
    <col min="3337" max="3340" width="1" style="38" customWidth="1"/>
    <col min="3341" max="3341" width="17.88671875" style="38" customWidth="1"/>
    <col min="3342" max="3345" width="1" style="38" customWidth="1"/>
    <col min="3346" max="3346" width="17.88671875" style="38" customWidth="1"/>
    <col min="3347" max="3350" width="1" style="38" customWidth="1"/>
    <col min="3351" max="3351" width="17.88671875" style="38" customWidth="1"/>
    <col min="3352" max="3355" width="1" style="38" customWidth="1"/>
    <col min="3356" max="3356" width="17.88671875" style="38" customWidth="1"/>
    <col min="3357" max="3360" width="1" style="38" customWidth="1"/>
    <col min="3361" max="3361" width="17.88671875" style="38" customWidth="1"/>
    <col min="3362" max="3365" width="1" style="38" customWidth="1"/>
    <col min="3366" max="3366" width="17.88671875" style="38" customWidth="1"/>
    <col min="3367" max="3370" width="1" style="38" customWidth="1"/>
    <col min="3371" max="3371" width="17.88671875" style="38" customWidth="1"/>
    <col min="3372" max="3373" width="1" style="38" customWidth="1"/>
    <col min="3374" max="3392" width="0" style="38" hidden="1" customWidth="1"/>
    <col min="3393" max="3393" width="1" style="38" customWidth="1"/>
    <col min="3394" max="3428" width="0" style="38" hidden="1" customWidth="1"/>
    <col min="3429" max="3430" width="1" style="38" customWidth="1"/>
    <col min="3431" max="3431" width="17.88671875" style="38" customWidth="1"/>
    <col min="3432" max="3435" width="1" style="38" customWidth="1"/>
    <col min="3436" max="3436" width="17.88671875" style="38" customWidth="1"/>
    <col min="3437" max="3438" width="1" style="38" customWidth="1"/>
    <col min="3439" max="3439" width="1.5546875" style="38" customWidth="1"/>
    <col min="3440" max="3440" width="0.6640625" style="38" customWidth="1"/>
    <col min="3441" max="3441" width="1.88671875" style="38" customWidth="1"/>
    <col min="3442" max="3442" width="10.6640625" style="38" customWidth="1"/>
    <col min="3443" max="3443" width="0" style="38" hidden="1" customWidth="1"/>
    <col min="3444" max="3549" width="10" style="38"/>
    <col min="3550" max="3550" width="1.5546875" style="38" customWidth="1"/>
    <col min="3551" max="3551" width="1.44140625" style="38" customWidth="1"/>
    <col min="3552" max="3552" width="57.5546875" style="38" customWidth="1"/>
    <col min="3553" max="3553" width="2.6640625" style="38" customWidth="1"/>
    <col min="3554" max="3554" width="0" style="38" hidden="1" customWidth="1"/>
    <col min="3555" max="3556" width="1" style="38" customWidth="1"/>
    <col min="3557" max="3557" width="19.6640625" style="38" customWidth="1"/>
    <col min="3558" max="3559" width="1" style="38" customWidth="1"/>
    <col min="3560" max="3560" width="2" style="38" customWidth="1"/>
    <col min="3561" max="3561" width="1" style="38" customWidth="1"/>
    <col min="3562" max="3562" width="17.88671875" style="38" customWidth="1"/>
    <col min="3563" max="3566" width="1" style="38" customWidth="1"/>
    <col min="3567" max="3567" width="17.88671875" style="38" customWidth="1"/>
    <col min="3568" max="3571" width="1" style="38" customWidth="1"/>
    <col min="3572" max="3572" width="17.88671875" style="38" customWidth="1"/>
    <col min="3573" max="3576" width="1" style="38" customWidth="1"/>
    <col min="3577" max="3577" width="17.88671875" style="38" customWidth="1"/>
    <col min="3578" max="3581" width="1" style="38" customWidth="1"/>
    <col min="3582" max="3582" width="17.88671875" style="38" customWidth="1"/>
    <col min="3583" max="3586" width="1" style="38" customWidth="1"/>
    <col min="3587" max="3587" width="17.88671875" style="38" customWidth="1"/>
    <col min="3588" max="3591" width="1" style="38" customWidth="1"/>
    <col min="3592" max="3592" width="17.88671875" style="38" customWidth="1"/>
    <col min="3593" max="3596" width="1" style="38" customWidth="1"/>
    <col min="3597" max="3597" width="17.88671875" style="38" customWidth="1"/>
    <col min="3598" max="3601" width="1" style="38" customWidth="1"/>
    <col min="3602" max="3602" width="17.88671875" style="38" customWidth="1"/>
    <col min="3603" max="3606" width="1" style="38" customWidth="1"/>
    <col min="3607" max="3607" width="17.88671875" style="38" customWidth="1"/>
    <col min="3608" max="3611" width="1" style="38" customWidth="1"/>
    <col min="3612" max="3612" width="17.88671875" style="38" customWidth="1"/>
    <col min="3613" max="3616" width="1" style="38" customWidth="1"/>
    <col min="3617" max="3617" width="17.88671875" style="38" customWidth="1"/>
    <col min="3618" max="3621" width="1" style="38" customWidth="1"/>
    <col min="3622" max="3622" width="17.88671875" style="38" customWidth="1"/>
    <col min="3623" max="3626" width="1" style="38" customWidth="1"/>
    <col min="3627" max="3627" width="17.88671875" style="38" customWidth="1"/>
    <col min="3628" max="3629" width="1" style="38" customWidth="1"/>
    <col min="3630" max="3648" width="0" style="38" hidden="1" customWidth="1"/>
    <col min="3649" max="3649" width="1" style="38" customWidth="1"/>
    <col min="3650" max="3684" width="0" style="38" hidden="1" customWidth="1"/>
    <col min="3685" max="3686" width="1" style="38" customWidth="1"/>
    <col min="3687" max="3687" width="17.88671875" style="38" customWidth="1"/>
    <col min="3688" max="3691" width="1" style="38" customWidth="1"/>
    <col min="3692" max="3692" width="17.88671875" style="38" customWidth="1"/>
    <col min="3693" max="3694" width="1" style="38" customWidth="1"/>
    <col min="3695" max="3695" width="1.5546875" style="38" customWidth="1"/>
    <col min="3696" max="3696" width="0.6640625" style="38" customWidth="1"/>
    <col min="3697" max="3697" width="1.88671875" style="38" customWidth="1"/>
    <col min="3698" max="3698" width="10.6640625" style="38" customWidth="1"/>
    <col min="3699" max="3699" width="0" style="38" hidden="1" customWidth="1"/>
    <col min="3700" max="3805" width="10" style="38"/>
    <col min="3806" max="3806" width="1.5546875" style="38" customWidth="1"/>
    <col min="3807" max="3807" width="1.44140625" style="38" customWidth="1"/>
    <col min="3808" max="3808" width="57.5546875" style="38" customWidth="1"/>
    <col min="3809" max="3809" width="2.6640625" style="38" customWidth="1"/>
    <col min="3810" max="3810" width="0" style="38" hidden="1" customWidth="1"/>
    <col min="3811" max="3812" width="1" style="38" customWidth="1"/>
    <col min="3813" max="3813" width="19.6640625" style="38" customWidth="1"/>
    <col min="3814" max="3815" width="1" style="38" customWidth="1"/>
    <col min="3816" max="3816" width="2" style="38" customWidth="1"/>
    <col min="3817" max="3817" width="1" style="38" customWidth="1"/>
    <col min="3818" max="3818" width="17.88671875" style="38" customWidth="1"/>
    <col min="3819" max="3822" width="1" style="38" customWidth="1"/>
    <col min="3823" max="3823" width="17.88671875" style="38" customWidth="1"/>
    <col min="3824" max="3827" width="1" style="38" customWidth="1"/>
    <col min="3828" max="3828" width="17.88671875" style="38" customWidth="1"/>
    <col min="3829" max="3832" width="1" style="38" customWidth="1"/>
    <col min="3833" max="3833" width="17.88671875" style="38" customWidth="1"/>
    <col min="3834" max="3837" width="1" style="38" customWidth="1"/>
    <col min="3838" max="3838" width="17.88671875" style="38" customWidth="1"/>
    <col min="3839" max="3842" width="1" style="38" customWidth="1"/>
    <col min="3843" max="3843" width="17.88671875" style="38" customWidth="1"/>
    <col min="3844" max="3847" width="1" style="38" customWidth="1"/>
    <col min="3848" max="3848" width="17.88671875" style="38" customWidth="1"/>
    <col min="3849" max="3852" width="1" style="38" customWidth="1"/>
    <col min="3853" max="3853" width="17.88671875" style="38" customWidth="1"/>
    <col min="3854" max="3857" width="1" style="38" customWidth="1"/>
    <col min="3858" max="3858" width="17.88671875" style="38" customWidth="1"/>
    <col min="3859" max="3862" width="1" style="38" customWidth="1"/>
    <col min="3863" max="3863" width="17.88671875" style="38" customWidth="1"/>
    <col min="3864" max="3867" width="1" style="38" customWidth="1"/>
    <col min="3868" max="3868" width="17.88671875" style="38" customWidth="1"/>
    <col min="3869" max="3872" width="1" style="38" customWidth="1"/>
    <col min="3873" max="3873" width="17.88671875" style="38" customWidth="1"/>
    <col min="3874" max="3877" width="1" style="38" customWidth="1"/>
    <col min="3878" max="3878" width="17.88671875" style="38" customWidth="1"/>
    <col min="3879" max="3882" width="1" style="38" customWidth="1"/>
    <col min="3883" max="3883" width="17.88671875" style="38" customWidth="1"/>
    <col min="3884" max="3885" width="1" style="38" customWidth="1"/>
    <col min="3886" max="3904" width="0" style="38" hidden="1" customWidth="1"/>
    <col min="3905" max="3905" width="1" style="38" customWidth="1"/>
    <col min="3906" max="3940" width="0" style="38" hidden="1" customWidth="1"/>
    <col min="3941" max="3942" width="1" style="38" customWidth="1"/>
    <col min="3943" max="3943" width="17.88671875" style="38" customWidth="1"/>
    <col min="3944" max="3947" width="1" style="38" customWidth="1"/>
    <col min="3948" max="3948" width="17.88671875" style="38" customWidth="1"/>
    <col min="3949" max="3950" width="1" style="38" customWidth="1"/>
    <col min="3951" max="3951" width="1.5546875" style="38" customWidth="1"/>
    <col min="3952" max="3952" width="0.6640625" style="38" customWidth="1"/>
    <col min="3953" max="3953" width="1.88671875" style="38" customWidth="1"/>
    <col min="3954" max="3954" width="10.6640625" style="38" customWidth="1"/>
    <col min="3955" max="3955" width="0" style="38" hidden="1" customWidth="1"/>
    <col min="3956" max="4061" width="10" style="38"/>
    <col min="4062" max="4062" width="1.5546875" style="38" customWidth="1"/>
    <col min="4063" max="4063" width="1.44140625" style="38" customWidth="1"/>
    <col min="4064" max="4064" width="57.5546875" style="38" customWidth="1"/>
    <col min="4065" max="4065" width="2.6640625" style="38" customWidth="1"/>
    <col min="4066" max="4066" width="0" style="38" hidden="1" customWidth="1"/>
    <col min="4067" max="4068" width="1" style="38" customWidth="1"/>
    <col min="4069" max="4069" width="19.6640625" style="38" customWidth="1"/>
    <col min="4070" max="4071" width="1" style="38" customWidth="1"/>
    <col min="4072" max="4072" width="2" style="38" customWidth="1"/>
    <col min="4073" max="4073" width="1" style="38" customWidth="1"/>
    <col min="4074" max="4074" width="17.88671875" style="38" customWidth="1"/>
    <col min="4075" max="4078" width="1" style="38" customWidth="1"/>
    <col min="4079" max="4079" width="17.88671875" style="38" customWidth="1"/>
    <col min="4080" max="4083" width="1" style="38" customWidth="1"/>
    <col min="4084" max="4084" width="17.88671875" style="38" customWidth="1"/>
    <col min="4085" max="4088" width="1" style="38" customWidth="1"/>
    <col min="4089" max="4089" width="17.88671875" style="38" customWidth="1"/>
    <col min="4090" max="4093" width="1" style="38" customWidth="1"/>
    <col min="4094" max="4094" width="17.88671875" style="38" customWidth="1"/>
    <col min="4095" max="4098" width="1" style="38" customWidth="1"/>
    <col min="4099" max="4099" width="17.88671875" style="38" customWidth="1"/>
    <col min="4100" max="4103" width="1" style="38" customWidth="1"/>
    <col min="4104" max="4104" width="17.88671875" style="38" customWidth="1"/>
    <col min="4105" max="4108" width="1" style="38" customWidth="1"/>
    <col min="4109" max="4109" width="17.88671875" style="38" customWidth="1"/>
    <col min="4110" max="4113" width="1" style="38" customWidth="1"/>
    <col min="4114" max="4114" width="17.88671875" style="38" customWidth="1"/>
    <col min="4115" max="4118" width="1" style="38" customWidth="1"/>
    <col min="4119" max="4119" width="17.88671875" style="38" customWidth="1"/>
    <col min="4120" max="4123" width="1" style="38" customWidth="1"/>
    <col min="4124" max="4124" width="17.88671875" style="38" customWidth="1"/>
    <col min="4125" max="4128" width="1" style="38" customWidth="1"/>
    <col min="4129" max="4129" width="17.88671875" style="38" customWidth="1"/>
    <col min="4130" max="4133" width="1" style="38" customWidth="1"/>
    <col min="4134" max="4134" width="17.88671875" style="38" customWidth="1"/>
    <col min="4135" max="4138" width="1" style="38" customWidth="1"/>
    <col min="4139" max="4139" width="17.88671875" style="38" customWidth="1"/>
    <col min="4140" max="4141" width="1" style="38" customWidth="1"/>
    <col min="4142" max="4160" width="0" style="38" hidden="1" customWidth="1"/>
    <col min="4161" max="4161" width="1" style="38" customWidth="1"/>
    <col min="4162" max="4196" width="0" style="38" hidden="1" customWidth="1"/>
    <col min="4197" max="4198" width="1" style="38" customWidth="1"/>
    <col min="4199" max="4199" width="17.88671875" style="38" customWidth="1"/>
    <col min="4200" max="4203" width="1" style="38" customWidth="1"/>
    <col min="4204" max="4204" width="17.88671875" style="38" customWidth="1"/>
    <col min="4205" max="4206" width="1" style="38" customWidth="1"/>
    <col min="4207" max="4207" width="1.5546875" style="38" customWidth="1"/>
    <col min="4208" max="4208" width="0.6640625" style="38" customWidth="1"/>
    <col min="4209" max="4209" width="1.88671875" style="38" customWidth="1"/>
    <col min="4210" max="4210" width="10.6640625" style="38" customWidth="1"/>
    <col min="4211" max="4211" width="0" style="38" hidden="1" customWidth="1"/>
    <col min="4212" max="4317" width="10" style="38"/>
    <col min="4318" max="4318" width="1.5546875" style="38" customWidth="1"/>
    <col min="4319" max="4319" width="1.44140625" style="38" customWidth="1"/>
    <col min="4320" max="4320" width="57.5546875" style="38" customWidth="1"/>
    <col min="4321" max="4321" width="2.6640625" style="38" customWidth="1"/>
    <col min="4322" max="4322" width="0" style="38" hidden="1" customWidth="1"/>
    <col min="4323" max="4324" width="1" style="38" customWidth="1"/>
    <col min="4325" max="4325" width="19.6640625" style="38" customWidth="1"/>
    <col min="4326" max="4327" width="1" style="38" customWidth="1"/>
    <col min="4328" max="4328" width="2" style="38" customWidth="1"/>
    <col min="4329" max="4329" width="1" style="38" customWidth="1"/>
    <col min="4330" max="4330" width="17.88671875" style="38" customWidth="1"/>
    <col min="4331" max="4334" width="1" style="38" customWidth="1"/>
    <col min="4335" max="4335" width="17.88671875" style="38" customWidth="1"/>
    <col min="4336" max="4339" width="1" style="38" customWidth="1"/>
    <col min="4340" max="4340" width="17.88671875" style="38" customWidth="1"/>
    <col min="4341" max="4344" width="1" style="38" customWidth="1"/>
    <col min="4345" max="4345" width="17.88671875" style="38" customWidth="1"/>
    <col min="4346" max="4349" width="1" style="38" customWidth="1"/>
    <col min="4350" max="4350" width="17.88671875" style="38" customWidth="1"/>
    <col min="4351" max="4354" width="1" style="38" customWidth="1"/>
    <col min="4355" max="4355" width="17.88671875" style="38" customWidth="1"/>
    <col min="4356" max="4359" width="1" style="38" customWidth="1"/>
    <col min="4360" max="4360" width="17.88671875" style="38" customWidth="1"/>
    <col min="4361" max="4364" width="1" style="38" customWidth="1"/>
    <col min="4365" max="4365" width="17.88671875" style="38" customWidth="1"/>
    <col min="4366" max="4369" width="1" style="38" customWidth="1"/>
    <col min="4370" max="4370" width="17.88671875" style="38" customWidth="1"/>
    <col min="4371" max="4374" width="1" style="38" customWidth="1"/>
    <col min="4375" max="4375" width="17.88671875" style="38" customWidth="1"/>
    <col min="4376" max="4379" width="1" style="38" customWidth="1"/>
    <col min="4380" max="4380" width="17.88671875" style="38" customWidth="1"/>
    <col min="4381" max="4384" width="1" style="38" customWidth="1"/>
    <col min="4385" max="4385" width="17.88671875" style="38" customWidth="1"/>
    <col min="4386" max="4389" width="1" style="38" customWidth="1"/>
    <col min="4390" max="4390" width="17.88671875" style="38" customWidth="1"/>
    <col min="4391" max="4394" width="1" style="38" customWidth="1"/>
    <col min="4395" max="4395" width="17.88671875" style="38" customWidth="1"/>
    <col min="4396" max="4397" width="1" style="38" customWidth="1"/>
    <col min="4398" max="4416" width="0" style="38" hidden="1" customWidth="1"/>
    <col min="4417" max="4417" width="1" style="38" customWidth="1"/>
    <col min="4418" max="4452" width="0" style="38" hidden="1" customWidth="1"/>
    <col min="4453" max="4454" width="1" style="38" customWidth="1"/>
    <col min="4455" max="4455" width="17.88671875" style="38" customWidth="1"/>
    <col min="4456" max="4459" width="1" style="38" customWidth="1"/>
    <col min="4460" max="4460" width="17.88671875" style="38" customWidth="1"/>
    <col min="4461" max="4462" width="1" style="38" customWidth="1"/>
    <col min="4463" max="4463" width="1.5546875" style="38" customWidth="1"/>
    <col min="4464" max="4464" width="0.6640625" style="38" customWidth="1"/>
    <col min="4465" max="4465" width="1.88671875" style="38" customWidth="1"/>
    <col min="4466" max="4466" width="10.6640625" style="38" customWidth="1"/>
    <col min="4467" max="4467" width="0" style="38" hidden="1" customWidth="1"/>
    <col min="4468" max="4573" width="10" style="38"/>
    <col min="4574" max="4574" width="1.5546875" style="38" customWidth="1"/>
    <col min="4575" max="4575" width="1.44140625" style="38" customWidth="1"/>
    <col min="4576" max="4576" width="57.5546875" style="38" customWidth="1"/>
    <col min="4577" max="4577" width="2.6640625" style="38" customWidth="1"/>
    <col min="4578" max="4578" width="0" style="38" hidden="1" customWidth="1"/>
    <col min="4579" max="4580" width="1" style="38" customWidth="1"/>
    <col min="4581" max="4581" width="19.6640625" style="38" customWidth="1"/>
    <col min="4582" max="4583" width="1" style="38" customWidth="1"/>
    <col min="4584" max="4584" width="2" style="38" customWidth="1"/>
    <col min="4585" max="4585" width="1" style="38" customWidth="1"/>
    <col min="4586" max="4586" width="17.88671875" style="38" customWidth="1"/>
    <col min="4587" max="4590" width="1" style="38" customWidth="1"/>
    <col min="4591" max="4591" width="17.88671875" style="38" customWidth="1"/>
    <col min="4592" max="4595" width="1" style="38" customWidth="1"/>
    <col min="4596" max="4596" width="17.88671875" style="38" customWidth="1"/>
    <col min="4597" max="4600" width="1" style="38" customWidth="1"/>
    <col min="4601" max="4601" width="17.88671875" style="38" customWidth="1"/>
    <col min="4602" max="4605" width="1" style="38" customWidth="1"/>
    <col min="4606" max="4606" width="17.88671875" style="38" customWidth="1"/>
    <col min="4607" max="4610" width="1" style="38" customWidth="1"/>
    <col min="4611" max="4611" width="17.88671875" style="38" customWidth="1"/>
    <col min="4612" max="4615" width="1" style="38" customWidth="1"/>
    <col min="4616" max="4616" width="17.88671875" style="38" customWidth="1"/>
    <col min="4617" max="4620" width="1" style="38" customWidth="1"/>
    <col min="4621" max="4621" width="17.88671875" style="38" customWidth="1"/>
    <col min="4622" max="4625" width="1" style="38" customWidth="1"/>
    <col min="4626" max="4626" width="17.88671875" style="38" customWidth="1"/>
    <col min="4627" max="4630" width="1" style="38" customWidth="1"/>
    <col min="4631" max="4631" width="17.88671875" style="38" customWidth="1"/>
    <col min="4632" max="4635" width="1" style="38" customWidth="1"/>
    <col min="4636" max="4636" width="17.88671875" style="38" customWidth="1"/>
    <col min="4637" max="4640" width="1" style="38" customWidth="1"/>
    <col min="4641" max="4641" width="17.88671875" style="38" customWidth="1"/>
    <col min="4642" max="4645" width="1" style="38" customWidth="1"/>
    <col min="4646" max="4646" width="17.88671875" style="38" customWidth="1"/>
    <col min="4647" max="4650" width="1" style="38" customWidth="1"/>
    <col min="4651" max="4651" width="17.88671875" style="38" customWidth="1"/>
    <col min="4652" max="4653" width="1" style="38" customWidth="1"/>
    <col min="4654" max="4672" width="0" style="38" hidden="1" customWidth="1"/>
    <col min="4673" max="4673" width="1" style="38" customWidth="1"/>
    <col min="4674" max="4708" width="0" style="38" hidden="1" customWidth="1"/>
    <col min="4709" max="4710" width="1" style="38" customWidth="1"/>
    <col min="4711" max="4711" width="17.88671875" style="38" customWidth="1"/>
    <col min="4712" max="4715" width="1" style="38" customWidth="1"/>
    <col min="4716" max="4716" width="17.88671875" style="38" customWidth="1"/>
    <col min="4717" max="4718" width="1" style="38" customWidth="1"/>
    <col min="4719" max="4719" width="1.5546875" style="38" customWidth="1"/>
    <col min="4720" max="4720" width="0.6640625" style="38" customWidth="1"/>
    <col min="4721" max="4721" width="1.88671875" style="38" customWidth="1"/>
    <col min="4722" max="4722" width="10.6640625" style="38" customWidth="1"/>
    <col min="4723" max="4723" width="0" style="38" hidden="1" customWidth="1"/>
    <col min="4724" max="4829" width="10" style="38"/>
    <col min="4830" max="4830" width="1.5546875" style="38" customWidth="1"/>
    <col min="4831" max="4831" width="1.44140625" style="38" customWidth="1"/>
    <col min="4832" max="4832" width="57.5546875" style="38" customWidth="1"/>
    <col min="4833" max="4833" width="2.6640625" style="38" customWidth="1"/>
    <col min="4834" max="4834" width="0" style="38" hidden="1" customWidth="1"/>
    <col min="4835" max="4836" width="1" style="38" customWidth="1"/>
    <col min="4837" max="4837" width="19.6640625" style="38" customWidth="1"/>
    <col min="4838" max="4839" width="1" style="38" customWidth="1"/>
    <col min="4840" max="4840" width="2" style="38" customWidth="1"/>
    <col min="4841" max="4841" width="1" style="38" customWidth="1"/>
    <col min="4842" max="4842" width="17.88671875" style="38" customWidth="1"/>
    <col min="4843" max="4846" width="1" style="38" customWidth="1"/>
    <col min="4847" max="4847" width="17.88671875" style="38" customWidth="1"/>
    <col min="4848" max="4851" width="1" style="38" customWidth="1"/>
    <col min="4852" max="4852" width="17.88671875" style="38" customWidth="1"/>
    <col min="4853" max="4856" width="1" style="38" customWidth="1"/>
    <col min="4857" max="4857" width="17.88671875" style="38" customWidth="1"/>
    <col min="4858" max="4861" width="1" style="38" customWidth="1"/>
    <col min="4862" max="4862" width="17.88671875" style="38" customWidth="1"/>
    <col min="4863" max="4866" width="1" style="38" customWidth="1"/>
    <col min="4867" max="4867" width="17.88671875" style="38" customWidth="1"/>
    <col min="4868" max="4871" width="1" style="38" customWidth="1"/>
    <col min="4872" max="4872" width="17.88671875" style="38" customWidth="1"/>
    <col min="4873" max="4876" width="1" style="38" customWidth="1"/>
    <col min="4877" max="4877" width="17.88671875" style="38" customWidth="1"/>
    <col min="4878" max="4881" width="1" style="38" customWidth="1"/>
    <col min="4882" max="4882" width="17.88671875" style="38" customWidth="1"/>
    <col min="4883" max="4886" width="1" style="38" customWidth="1"/>
    <col min="4887" max="4887" width="17.88671875" style="38" customWidth="1"/>
    <col min="4888" max="4891" width="1" style="38" customWidth="1"/>
    <col min="4892" max="4892" width="17.88671875" style="38" customWidth="1"/>
    <col min="4893" max="4896" width="1" style="38" customWidth="1"/>
    <col min="4897" max="4897" width="17.88671875" style="38" customWidth="1"/>
    <col min="4898" max="4901" width="1" style="38" customWidth="1"/>
    <col min="4902" max="4902" width="17.88671875" style="38" customWidth="1"/>
    <col min="4903" max="4906" width="1" style="38" customWidth="1"/>
    <col min="4907" max="4907" width="17.88671875" style="38" customWidth="1"/>
    <col min="4908" max="4909" width="1" style="38" customWidth="1"/>
    <col min="4910" max="4928" width="0" style="38" hidden="1" customWidth="1"/>
    <col min="4929" max="4929" width="1" style="38" customWidth="1"/>
    <col min="4930" max="4964" width="0" style="38" hidden="1" customWidth="1"/>
    <col min="4965" max="4966" width="1" style="38" customWidth="1"/>
    <col min="4967" max="4967" width="17.88671875" style="38" customWidth="1"/>
    <col min="4968" max="4971" width="1" style="38" customWidth="1"/>
    <col min="4972" max="4972" width="17.88671875" style="38" customWidth="1"/>
    <col min="4973" max="4974" width="1" style="38" customWidth="1"/>
    <col min="4975" max="4975" width="1.5546875" style="38" customWidth="1"/>
    <col min="4976" max="4976" width="0.6640625" style="38" customWidth="1"/>
    <col min="4977" max="4977" width="1.88671875" style="38" customWidth="1"/>
    <col min="4978" max="4978" width="10.6640625" style="38" customWidth="1"/>
    <col min="4979" max="4979" width="0" style="38" hidden="1" customWidth="1"/>
    <col min="4980" max="5085" width="10" style="38"/>
    <col min="5086" max="5086" width="1.5546875" style="38" customWidth="1"/>
    <col min="5087" max="5087" width="1.44140625" style="38" customWidth="1"/>
    <col min="5088" max="5088" width="57.5546875" style="38" customWidth="1"/>
    <col min="5089" max="5089" width="2.6640625" style="38" customWidth="1"/>
    <col min="5090" max="5090" width="0" style="38" hidden="1" customWidth="1"/>
    <col min="5091" max="5092" width="1" style="38" customWidth="1"/>
    <col min="5093" max="5093" width="19.6640625" style="38" customWidth="1"/>
    <col min="5094" max="5095" width="1" style="38" customWidth="1"/>
    <col min="5096" max="5096" width="2" style="38" customWidth="1"/>
    <col min="5097" max="5097" width="1" style="38" customWidth="1"/>
    <col min="5098" max="5098" width="17.88671875" style="38" customWidth="1"/>
    <col min="5099" max="5102" width="1" style="38" customWidth="1"/>
    <col min="5103" max="5103" width="17.88671875" style="38" customWidth="1"/>
    <col min="5104" max="5107" width="1" style="38" customWidth="1"/>
    <col min="5108" max="5108" width="17.88671875" style="38" customWidth="1"/>
    <col min="5109" max="5112" width="1" style="38" customWidth="1"/>
    <col min="5113" max="5113" width="17.88671875" style="38" customWidth="1"/>
    <col min="5114" max="5117" width="1" style="38" customWidth="1"/>
    <col min="5118" max="5118" width="17.88671875" style="38" customWidth="1"/>
    <col min="5119" max="5122" width="1" style="38" customWidth="1"/>
    <col min="5123" max="5123" width="17.88671875" style="38" customWidth="1"/>
    <col min="5124" max="5127" width="1" style="38" customWidth="1"/>
    <col min="5128" max="5128" width="17.88671875" style="38" customWidth="1"/>
    <col min="5129" max="5132" width="1" style="38" customWidth="1"/>
    <col min="5133" max="5133" width="17.88671875" style="38" customWidth="1"/>
    <col min="5134" max="5137" width="1" style="38" customWidth="1"/>
    <col min="5138" max="5138" width="17.88671875" style="38" customWidth="1"/>
    <col min="5139" max="5142" width="1" style="38" customWidth="1"/>
    <col min="5143" max="5143" width="17.88671875" style="38" customWidth="1"/>
    <col min="5144" max="5147" width="1" style="38" customWidth="1"/>
    <col min="5148" max="5148" width="17.88671875" style="38" customWidth="1"/>
    <col min="5149" max="5152" width="1" style="38" customWidth="1"/>
    <col min="5153" max="5153" width="17.88671875" style="38" customWidth="1"/>
    <col min="5154" max="5157" width="1" style="38" customWidth="1"/>
    <col min="5158" max="5158" width="17.88671875" style="38" customWidth="1"/>
    <col min="5159" max="5162" width="1" style="38" customWidth="1"/>
    <col min="5163" max="5163" width="17.88671875" style="38" customWidth="1"/>
    <col min="5164" max="5165" width="1" style="38" customWidth="1"/>
    <col min="5166" max="5184" width="0" style="38" hidden="1" customWidth="1"/>
    <col min="5185" max="5185" width="1" style="38" customWidth="1"/>
    <col min="5186" max="5220" width="0" style="38" hidden="1" customWidth="1"/>
    <col min="5221" max="5222" width="1" style="38" customWidth="1"/>
    <col min="5223" max="5223" width="17.88671875" style="38" customWidth="1"/>
    <col min="5224" max="5227" width="1" style="38" customWidth="1"/>
    <col min="5228" max="5228" width="17.88671875" style="38" customWidth="1"/>
    <col min="5229" max="5230" width="1" style="38" customWidth="1"/>
    <col min="5231" max="5231" width="1.5546875" style="38" customWidth="1"/>
    <col min="5232" max="5232" width="0.6640625" style="38" customWidth="1"/>
    <col min="5233" max="5233" width="1.88671875" style="38" customWidth="1"/>
    <col min="5234" max="5234" width="10.6640625" style="38" customWidth="1"/>
    <col min="5235" max="5235" width="0" style="38" hidden="1" customWidth="1"/>
    <col min="5236" max="5341" width="10" style="38"/>
    <col min="5342" max="5342" width="1.5546875" style="38" customWidth="1"/>
    <col min="5343" max="5343" width="1.44140625" style="38" customWidth="1"/>
    <col min="5344" max="5344" width="57.5546875" style="38" customWidth="1"/>
    <col min="5345" max="5345" width="2.6640625" style="38" customWidth="1"/>
    <col min="5346" max="5346" width="0" style="38" hidden="1" customWidth="1"/>
    <col min="5347" max="5348" width="1" style="38" customWidth="1"/>
    <col min="5349" max="5349" width="19.6640625" style="38" customWidth="1"/>
    <col min="5350" max="5351" width="1" style="38" customWidth="1"/>
    <col min="5352" max="5352" width="2" style="38" customWidth="1"/>
    <col min="5353" max="5353" width="1" style="38" customWidth="1"/>
    <col min="5354" max="5354" width="17.88671875" style="38" customWidth="1"/>
    <col min="5355" max="5358" width="1" style="38" customWidth="1"/>
    <col min="5359" max="5359" width="17.88671875" style="38" customWidth="1"/>
    <col min="5360" max="5363" width="1" style="38" customWidth="1"/>
    <col min="5364" max="5364" width="17.88671875" style="38" customWidth="1"/>
    <col min="5365" max="5368" width="1" style="38" customWidth="1"/>
    <col min="5369" max="5369" width="17.88671875" style="38" customWidth="1"/>
    <col min="5370" max="5373" width="1" style="38" customWidth="1"/>
    <col min="5374" max="5374" width="17.88671875" style="38" customWidth="1"/>
    <col min="5375" max="5378" width="1" style="38" customWidth="1"/>
    <col min="5379" max="5379" width="17.88671875" style="38" customWidth="1"/>
    <col min="5380" max="5383" width="1" style="38" customWidth="1"/>
    <col min="5384" max="5384" width="17.88671875" style="38" customWidth="1"/>
    <col min="5385" max="5388" width="1" style="38" customWidth="1"/>
    <col min="5389" max="5389" width="17.88671875" style="38" customWidth="1"/>
    <col min="5390" max="5393" width="1" style="38" customWidth="1"/>
    <col min="5394" max="5394" width="17.88671875" style="38" customWidth="1"/>
    <col min="5395" max="5398" width="1" style="38" customWidth="1"/>
    <col min="5399" max="5399" width="17.88671875" style="38" customWidth="1"/>
    <col min="5400" max="5403" width="1" style="38" customWidth="1"/>
    <col min="5404" max="5404" width="17.88671875" style="38" customWidth="1"/>
    <col min="5405" max="5408" width="1" style="38" customWidth="1"/>
    <col min="5409" max="5409" width="17.88671875" style="38" customWidth="1"/>
    <col min="5410" max="5413" width="1" style="38" customWidth="1"/>
    <col min="5414" max="5414" width="17.88671875" style="38" customWidth="1"/>
    <col min="5415" max="5418" width="1" style="38" customWidth="1"/>
    <col min="5419" max="5419" width="17.88671875" style="38" customWidth="1"/>
    <col min="5420" max="5421" width="1" style="38" customWidth="1"/>
    <col min="5422" max="5440" width="0" style="38" hidden="1" customWidth="1"/>
    <col min="5441" max="5441" width="1" style="38" customWidth="1"/>
    <col min="5442" max="5476" width="0" style="38" hidden="1" customWidth="1"/>
    <col min="5477" max="5478" width="1" style="38" customWidth="1"/>
    <col min="5479" max="5479" width="17.88671875" style="38" customWidth="1"/>
    <col min="5480" max="5483" width="1" style="38" customWidth="1"/>
    <col min="5484" max="5484" width="17.88671875" style="38" customWidth="1"/>
    <col min="5485" max="5486" width="1" style="38" customWidth="1"/>
    <col min="5487" max="5487" width="1.5546875" style="38" customWidth="1"/>
    <col min="5488" max="5488" width="0.6640625" style="38" customWidth="1"/>
    <col min="5489" max="5489" width="1.88671875" style="38" customWidth="1"/>
    <col min="5490" max="5490" width="10.6640625" style="38" customWidth="1"/>
    <col min="5491" max="5491" width="0" style="38" hidden="1" customWidth="1"/>
    <col min="5492" max="5597" width="10" style="38"/>
    <col min="5598" max="5598" width="1.5546875" style="38" customWidth="1"/>
    <col min="5599" max="5599" width="1.44140625" style="38" customWidth="1"/>
    <col min="5600" max="5600" width="57.5546875" style="38" customWidth="1"/>
    <col min="5601" max="5601" width="2.6640625" style="38" customWidth="1"/>
    <col min="5602" max="5602" width="0" style="38" hidden="1" customWidth="1"/>
    <col min="5603" max="5604" width="1" style="38" customWidth="1"/>
    <col min="5605" max="5605" width="19.6640625" style="38" customWidth="1"/>
    <col min="5606" max="5607" width="1" style="38" customWidth="1"/>
    <col min="5608" max="5608" width="2" style="38" customWidth="1"/>
    <col min="5609" max="5609" width="1" style="38" customWidth="1"/>
    <col min="5610" max="5610" width="17.88671875" style="38" customWidth="1"/>
    <col min="5611" max="5614" width="1" style="38" customWidth="1"/>
    <col min="5615" max="5615" width="17.88671875" style="38" customWidth="1"/>
    <col min="5616" max="5619" width="1" style="38" customWidth="1"/>
    <col min="5620" max="5620" width="17.88671875" style="38" customWidth="1"/>
    <col min="5621" max="5624" width="1" style="38" customWidth="1"/>
    <col min="5625" max="5625" width="17.88671875" style="38" customWidth="1"/>
    <col min="5626" max="5629" width="1" style="38" customWidth="1"/>
    <col min="5630" max="5630" width="17.88671875" style="38" customWidth="1"/>
    <col min="5631" max="5634" width="1" style="38" customWidth="1"/>
    <col min="5635" max="5635" width="17.88671875" style="38" customWidth="1"/>
    <col min="5636" max="5639" width="1" style="38" customWidth="1"/>
    <col min="5640" max="5640" width="17.88671875" style="38" customWidth="1"/>
    <col min="5641" max="5644" width="1" style="38" customWidth="1"/>
    <col min="5645" max="5645" width="17.88671875" style="38" customWidth="1"/>
    <col min="5646" max="5649" width="1" style="38" customWidth="1"/>
    <col min="5650" max="5650" width="17.88671875" style="38" customWidth="1"/>
    <col min="5651" max="5654" width="1" style="38" customWidth="1"/>
    <col min="5655" max="5655" width="17.88671875" style="38" customWidth="1"/>
    <col min="5656" max="5659" width="1" style="38" customWidth="1"/>
    <col min="5660" max="5660" width="17.88671875" style="38" customWidth="1"/>
    <col min="5661" max="5664" width="1" style="38" customWidth="1"/>
    <col min="5665" max="5665" width="17.88671875" style="38" customWidth="1"/>
    <col min="5666" max="5669" width="1" style="38" customWidth="1"/>
    <col min="5670" max="5670" width="17.88671875" style="38" customWidth="1"/>
    <col min="5671" max="5674" width="1" style="38" customWidth="1"/>
    <col min="5675" max="5675" width="17.88671875" style="38" customWidth="1"/>
    <col min="5676" max="5677" width="1" style="38" customWidth="1"/>
    <col min="5678" max="5696" width="0" style="38" hidden="1" customWidth="1"/>
    <col min="5697" max="5697" width="1" style="38" customWidth="1"/>
    <col min="5698" max="5732" width="0" style="38" hidden="1" customWidth="1"/>
    <col min="5733" max="5734" width="1" style="38" customWidth="1"/>
    <col min="5735" max="5735" width="17.88671875" style="38" customWidth="1"/>
    <col min="5736" max="5739" width="1" style="38" customWidth="1"/>
    <col min="5740" max="5740" width="17.88671875" style="38" customWidth="1"/>
    <col min="5741" max="5742" width="1" style="38" customWidth="1"/>
    <col min="5743" max="5743" width="1.5546875" style="38" customWidth="1"/>
    <col min="5744" max="5744" width="0.6640625" style="38" customWidth="1"/>
    <col min="5745" max="5745" width="1.88671875" style="38" customWidth="1"/>
    <col min="5746" max="5746" width="10.6640625" style="38" customWidth="1"/>
    <col min="5747" max="5747" width="0" style="38" hidden="1" customWidth="1"/>
    <col min="5748" max="5853" width="10" style="38"/>
    <col min="5854" max="5854" width="1.5546875" style="38" customWidth="1"/>
    <col min="5855" max="5855" width="1.44140625" style="38" customWidth="1"/>
    <col min="5856" max="5856" width="57.5546875" style="38" customWidth="1"/>
    <col min="5857" max="5857" width="2.6640625" style="38" customWidth="1"/>
    <col min="5858" max="5858" width="0" style="38" hidden="1" customWidth="1"/>
    <col min="5859" max="5860" width="1" style="38" customWidth="1"/>
    <col min="5861" max="5861" width="19.6640625" style="38" customWidth="1"/>
    <col min="5862" max="5863" width="1" style="38" customWidth="1"/>
    <col min="5864" max="5864" width="2" style="38" customWidth="1"/>
    <col min="5865" max="5865" width="1" style="38" customWidth="1"/>
    <col min="5866" max="5866" width="17.88671875" style="38" customWidth="1"/>
    <col min="5867" max="5870" width="1" style="38" customWidth="1"/>
    <col min="5871" max="5871" width="17.88671875" style="38" customWidth="1"/>
    <col min="5872" max="5875" width="1" style="38" customWidth="1"/>
    <col min="5876" max="5876" width="17.88671875" style="38" customWidth="1"/>
    <col min="5877" max="5880" width="1" style="38" customWidth="1"/>
    <col min="5881" max="5881" width="17.88671875" style="38" customWidth="1"/>
    <col min="5882" max="5885" width="1" style="38" customWidth="1"/>
    <col min="5886" max="5886" width="17.88671875" style="38" customWidth="1"/>
    <col min="5887" max="5890" width="1" style="38" customWidth="1"/>
    <col min="5891" max="5891" width="17.88671875" style="38" customWidth="1"/>
    <col min="5892" max="5895" width="1" style="38" customWidth="1"/>
    <col min="5896" max="5896" width="17.88671875" style="38" customWidth="1"/>
    <col min="5897" max="5900" width="1" style="38" customWidth="1"/>
    <col min="5901" max="5901" width="17.88671875" style="38" customWidth="1"/>
    <col min="5902" max="5905" width="1" style="38" customWidth="1"/>
    <col min="5906" max="5906" width="17.88671875" style="38" customWidth="1"/>
    <col min="5907" max="5910" width="1" style="38" customWidth="1"/>
    <col min="5911" max="5911" width="17.88671875" style="38" customWidth="1"/>
    <col min="5912" max="5915" width="1" style="38" customWidth="1"/>
    <col min="5916" max="5916" width="17.88671875" style="38" customWidth="1"/>
    <col min="5917" max="5920" width="1" style="38" customWidth="1"/>
    <col min="5921" max="5921" width="17.88671875" style="38" customWidth="1"/>
    <col min="5922" max="5925" width="1" style="38" customWidth="1"/>
    <col min="5926" max="5926" width="17.88671875" style="38" customWidth="1"/>
    <col min="5927" max="5930" width="1" style="38" customWidth="1"/>
    <col min="5931" max="5931" width="17.88671875" style="38" customWidth="1"/>
    <col min="5932" max="5933" width="1" style="38" customWidth="1"/>
    <col min="5934" max="5952" width="0" style="38" hidden="1" customWidth="1"/>
    <col min="5953" max="5953" width="1" style="38" customWidth="1"/>
    <col min="5954" max="5988" width="0" style="38" hidden="1" customWidth="1"/>
    <col min="5989" max="5990" width="1" style="38" customWidth="1"/>
    <col min="5991" max="5991" width="17.88671875" style="38" customWidth="1"/>
    <col min="5992" max="5995" width="1" style="38" customWidth="1"/>
    <col min="5996" max="5996" width="17.88671875" style="38" customWidth="1"/>
    <col min="5997" max="5998" width="1" style="38" customWidth="1"/>
    <col min="5999" max="5999" width="1.5546875" style="38" customWidth="1"/>
    <col min="6000" max="6000" width="0.6640625" style="38" customWidth="1"/>
    <col min="6001" max="6001" width="1.88671875" style="38" customWidth="1"/>
    <col min="6002" max="6002" width="10.6640625" style="38" customWidth="1"/>
    <col min="6003" max="6003" width="0" style="38" hidden="1" customWidth="1"/>
    <col min="6004" max="6109" width="10" style="38"/>
    <col min="6110" max="6110" width="1.5546875" style="38" customWidth="1"/>
    <col min="6111" max="6111" width="1.44140625" style="38" customWidth="1"/>
    <col min="6112" max="6112" width="57.5546875" style="38" customWidth="1"/>
    <col min="6113" max="6113" width="2.6640625" style="38" customWidth="1"/>
    <col min="6114" max="6114" width="0" style="38" hidden="1" customWidth="1"/>
    <col min="6115" max="6116" width="1" style="38" customWidth="1"/>
    <col min="6117" max="6117" width="19.6640625" style="38" customWidth="1"/>
    <col min="6118" max="6119" width="1" style="38" customWidth="1"/>
    <col min="6120" max="6120" width="2" style="38" customWidth="1"/>
    <col min="6121" max="6121" width="1" style="38" customWidth="1"/>
    <col min="6122" max="6122" width="17.88671875" style="38" customWidth="1"/>
    <col min="6123" max="6126" width="1" style="38" customWidth="1"/>
    <col min="6127" max="6127" width="17.88671875" style="38" customWidth="1"/>
    <col min="6128" max="6131" width="1" style="38" customWidth="1"/>
    <col min="6132" max="6132" width="17.88671875" style="38" customWidth="1"/>
    <col min="6133" max="6136" width="1" style="38" customWidth="1"/>
    <col min="6137" max="6137" width="17.88671875" style="38" customWidth="1"/>
    <col min="6138" max="6141" width="1" style="38" customWidth="1"/>
    <col min="6142" max="6142" width="17.88671875" style="38" customWidth="1"/>
    <col min="6143" max="6146" width="1" style="38" customWidth="1"/>
    <col min="6147" max="6147" width="17.88671875" style="38" customWidth="1"/>
    <col min="6148" max="6151" width="1" style="38" customWidth="1"/>
    <col min="6152" max="6152" width="17.88671875" style="38" customWidth="1"/>
    <col min="6153" max="6156" width="1" style="38" customWidth="1"/>
    <col min="6157" max="6157" width="17.88671875" style="38" customWidth="1"/>
    <col min="6158" max="6161" width="1" style="38" customWidth="1"/>
    <col min="6162" max="6162" width="17.88671875" style="38" customWidth="1"/>
    <col min="6163" max="6166" width="1" style="38" customWidth="1"/>
    <col min="6167" max="6167" width="17.88671875" style="38" customWidth="1"/>
    <col min="6168" max="6171" width="1" style="38" customWidth="1"/>
    <col min="6172" max="6172" width="17.88671875" style="38" customWidth="1"/>
    <col min="6173" max="6176" width="1" style="38" customWidth="1"/>
    <col min="6177" max="6177" width="17.88671875" style="38" customWidth="1"/>
    <col min="6178" max="6181" width="1" style="38" customWidth="1"/>
    <col min="6182" max="6182" width="17.88671875" style="38" customWidth="1"/>
    <col min="6183" max="6186" width="1" style="38" customWidth="1"/>
    <col min="6187" max="6187" width="17.88671875" style="38" customWidth="1"/>
    <col min="6188" max="6189" width="1" style="38" customWidth="1"/>
    <col min="6190" max="6208" width="0" style="38" hidden="1" customWidth="1"/>
    <col min="6209" max="6209" width="1" style="38" customWidth="1"/>
    <col min="6210" max="6244" width="0" style="38" hidden="1" customWidth="1"/>
    <col min="6245" max="6246" width="1" style="38" customWidth="1"/>
    <col min="6247" max="6247" width="17.88671875" style="38" customWidth="1"/>
    <col min="6248" max="6251" width="1" style="38" customWidth="1"/>
    <col min="6252" max="6252" width="17.88671875" style="38" customWidth="1"/>
    <col min="6253" max="6254" width="1" style="38" customWidth="1"/>
    <col min="6255" max="6255" width="1.5546875" style="38" customWidth="1"/>
    <col min="6256" max="6256" width="0.6640625" style="38" customWidth="1"/>
    <col min="6257" max="6257" width="1.88671875" style="38" customWidth="1"/>
    <col min="6258" max="6258" width="10.6640625" style="38" customWidth="1"/>
    <col min="6259" max="6259" width="0" style="38" hidden="1" customWidth="1"/>
    <col min="6260" max="6365" width="10" style="38"/>
    <col min="6366" max="6366" width="1.5546875" style="38" customWidth="1"/>
    <col min="6367" max="6367" width="1.44140625" style="38" customWidth="1"/>
    <col min="6368" max="6368" width="57.5546875" style="38" customWidth="1"/>
    <col min="6369" max="6369" width="2.6640625" style="38" customWidth="1"/>
    <col min="6370" max="6370" width="0" style="38" hidden="1" customWidth="1"/>
    <col min="6371" max="6372" width="1" style="38" customWidth="1"/>
    <col min="6373" max="6373" width="19.6640625" style="38" customWidth="1"/>
    <col min="6374" max="6375" width="1" style="38" customWidth="1"/>
    <col min="6376" max="6376" width="2" style="38" customWidth="1"/>
    <col min="6377" max="6377" width="1" style="38" customWidth="1"/>
    <col min="6378" max="6378" width="17.88671875" style="38" customWidth="1"/>
    <col min="6379" max="6382" width="1" style="38" customWidth="1"/>
    <col min="6383" max="6383" width="17.88671875" style="38" customWidth="1"/>
    <col min="6384" max="6387" width="1" style="38" customWidth="1"/>
    <col min="6388" max="6388" width="17.88671875" style="38" customWidth="1"/>
    <col min="6389" max="6392" width="1" style="38" customWidth="1"/>
    <col min="6393" max="6393" width="17.88671875" style="38" customWidth="1"/>
    <col min="6394" max="6397" width="1" style="38" customWidth="1"/>
    <col min="6398" max="6398" width="17.88671875" style="38" customWidth="1"/>
    <col min="6399" max="6402" width="1" style="38" customWidth="1"/>
    <col min="6403" max="6403" width="17.88671875" style="38" customWidth="1"/>
    <col min="6404" max="6407" width="1" style="38" customWidth="1"/>
    <col min="6408" max="6408" width="17.88671875" style="38" customWidth="1"/>
    <col min="6409" max="6412" width="1" style="38" customWidth="1"/>
    <col min="6413" max="6413" width="17.88671875" style="38" customWidth="1"/>
    <col min="6414" max="6417" width="1" style="38" customWidth="1"/>
    <col min="6418" max="6418" width="17.88671875" style="38" customWidth="1"/>
    <col min="6419" max="6422" width="1" style="38" customWidth="1"/>
    <col min="6423" max="6423" width="17.88671875" style="38" customWidth="1"/>
    <col min="6424" max="6427" width="1" style="38" customWidth="1"/>
    <col min="6428" max="6428" width="17.88671875" style="38" customWidth="1"/>
    <col min="6429" max="6432" width="1" style="38" customWidth="1"/>
    <col min="6433" max="6433" width="17.88671875" style="38" customWidth="1"/>
    <col min="6434" max="6437" width="1" style="38" customWidth="1"/>
    <col min="6438" max="6438" width="17.88671875" style="38" customWidth="1"/>
    <col min="6439" max="6442" width="1" style="38" customWidth="1"/>
    <col min="6443" max="6443" width="17.88671875" style="38" customWidth="1"/>
    <col min="6444" max="6445" width="1" style="38" customWidth="1"/>
    <col min="6446" max="6464" width="0" style="38" hidden="1" customWidth="1"/>
    <col min="6465" max="6465" width="1" style="38" customWidth="1"/>
    <col min="6466" max="6500" width="0" style="38" hidden="1" customWidth="1"/>
    <col min="6501" max="6502" width="1" style="38" customWidth="1"/>
    <col min="6503" max="6503" width="17.88671875" style="38" customWidth="1"/>
    <col min="6504" max="6507" width="1" style="38" customWidth="1"/>
    <col min="6508" max="6508" width="17.88671875" style="38" customWidth="1"/>
    <col min="6509" max="6510" width="1" style="38" customWidth="1"/>
    <col min="6511" max="6511" width="1.5546875" style="38" customWidth="1"/>
    <col min="6512" max="6512" width="0.6640625" style="38" customWidth="1"/>
    <col min="6513" max="6513" width="1.88671875" style="38" customWidth="1"/>
    <col min="6514" max="6514" width="10.6640625" style="38" customWidth="1"/>
    <col min="6515" max="6515" width="0" style="38" hidden="1" customWidth="1"/>
    <col min="6516" max="6621" width="10" style="38"/>
    <col min="6622" max="6622" width="1.5546875" style="38" customWidth="1"/>
    <col min="6623" max="6623" width="1.44140625" style="38" customWidth="1"/>
    <col min="6624" max="6624" width="57.5546875" style="38" customWidth="1"/>
    <col min="6625" max="6625" width="2.6640625" style="38" customWidth="1"/>
    <col min="6626" max="6626" width="0" style="38" hidden="1" customWidth="1"/>
    <col min="6627" max="6628" width="1" style="38" customWidth="1"/>
    <col min="6629" max="6629" width="19.6640625" style="38" customWidth="1"/>
    <col min="6630" max="6631" width="1" style="38" customWidth="1"/>
    <col min="6632" max="6632" width="2" style="38" customWidth="1"/>
    <col min="6633" max="6633" width="1" style="38" customWidth="1"/>
    <col min="6634" max="6634" width="17.88671875" style="38" customWidth="1"/>
    <col min="6635" max="6638" width="1" style="38" customWidth="1"/>
    <col min="6639" max="6639" width="17.88671875" style="38" customWidth="1"/>
    <col min="6640" max="6643" width="1" style="38" customWidth="1"/>
    <col min="6644" max="6644" width="17.88671875" style="38" customWidth="1"/>
    <col min="6645" max="6648" width="1" style="38" customWidth="1"/>
    <col min="6649" max="6649" width="17.88671875" style="38" customWidth="1"/>
    <col min="6650" max="6653" width="1" style="38" customWidth="1"/>
    <col min="6654" max="6654" width="17.88671875" style="38" customWidth="1"/>
    <col min="6655" max="6658" width="1" style="38" customWidth="1"/>
    <col min="6659" max="6659" width="17.88671875" style="38" customWidth="1"/>
    <col min="6660" max="6663" width="1" style="38" customWidth="1"/>
    <col min="6664" max="6664" width="17.88671875" style="38" customWidth="1"/>
    <col min="6665" max="6668" width="1" style="38" customWidth="1"/>
    <col min="6669" max="6669" width="17.88671875" style="38" customWidth="1"/>
    <col min="6670" max="6673" width="1" style="38" customWidth="1"/>
    <col min="6674" max="6674" width="17.88671875" style="38" customWidth="1"/>
    <col min="6675" max="6678" width="1" style="38" customWidth="1"/>
    <col min="6679" max="6679" width="17.88671875" style="38" customWidth="1"/>
    <col min="6680" max="6683" width="1" style="38" customWidth="1"/>
    <col min="6684" max="6684" width="17.88671875" style="38" customWidth="1"/>
    <col min="6685" max="6688" width="1" style="38" customWidth="1"/>
    <col min="6689" max="6689" width="17.88671875" style="38" customWidth="1"/>
    <col min="6690" max="6693" width="1" style="38" customWidth="1"/>
    <col min="6694" max="6694" width="17.88671875" style="38" customWidth="1"/>
    <col min="6695" max="6698" width="1" style="38" customWidth="1"/>
    <col min="6699" max="6699" width="17.88671875" style="38" customWidth="1"/>
    <col min="6700" max="6701" width="1" style="38" customWidth="1"/>
    <col min="6702" max="6720" width="0" style="38" hidden="1" customWidth="1"/>
    <col min="6721" max="6721" width="1" style="38" customWidth="1"/>
    <col min="6722" max="6756" width="0" style="38" hidden="1" customWidth="1"/>
    <col min="6757" max="6758" width="1" style="38" customWidth="1"/>
    <col min="6759" max="6759" width="17.88671875" style="38" customWidth="1"/>
    <col min="6760" max="6763" width="1" style="38" customWidth="1"/>
    <col min="6764" max="6764" width="17.88671875" style="38" customWidth="1"/>
    <col min="6765" max="6766" width="1" style="38" customWidth="1"/>
    <col min="6767" max="6767" width="1.5546875" style="38" customWidth="1"/>
    <col min="6768" max="6768" width="0.6640625" style="38" customWidth="1"/>
    <col min="6769" max="6769" width="1.88671875" style="38" customWidth="1"/>
    <col min="6770" max="6770" width="10.6640625" style="38" customWidth="1"/>
    <col min="6771" max="6771" width="0" style="38" hidden="1" customWidth="1"/>
    <col min="6772" max="6877" width="10" style="38"/>
    <col min="6878" max="6878" width="1.5546875" style="38" customWidth="1"/>
    <col min="6879" max="6879" width="1.44140625" style="38" customWidth="1"/>
    <col min="6880" max="6880" width="57.5546875" style="38" customWidth="1"/>
    <col min="6881" max="6881" width="2.6640625" style="38" customWidth="1"/>
    <col min="6882" max="6882" width="0" style="38" hidden="1" customWidth="1"/>
    <col min="6883" max="6884" width="1" style="38" customWidth="1"/>
    <col min="6885" max="6885" width="19.6640625" style="38" customWidth="1"/>
    <col min="6886" max="6887" width="1" style="38" customWidth="1"/>
    <col min="6888" max="6888" width="2" style="38" customWidth="1"/>
    <col min="6889" max="6889" width="1" style="38" customWidth="1"/>
    <col min="6890" max="6890" width="17.88671875" style="38" customWidth="1"/>
    <col min="6891" max="6894" width="1" style="38" customWidth="1"/>
    <col min="6895" max="6895" width="17.88671875" style="38" customWidth="1"/>
    <col min="6896" max="6899" width="1" style="38" customWidth="1"/>
    <col min="6900" max="6900" width="17.88671875" style="38" customWidth="1"/>
    <col min="6901" max="6904" width="1" style="38" customWidth="1"/>
    <col min="6905" max="6905" width="17.88671875" style="38" customWidth="1"/>
    <col min="6906" max="6909" width="1" style="38" customWidth="1"/>
    <col min="6910" max="6910" width="17.88671875" style="38" customWidth="1"/>
    <col min="6911" max="6914" width="1" style="38" customWidth="1"/>
    <col min="6915" max="6915" width="17.88671875" style="38" customWidth="1"/>
    <col min="6916" max="6919" width="1" style="38" customWidth="1"/>
    <col min="6920" max="6920" width="17.88671875" style="38" customWidth="1"/>
    <col min="6921" max="6924" width="1" style="38" customWidth="1"/>
    <col min="6925" max="6925" width="17.88671875" style="38" customWidth="1"/>
    <col min="6926" max="6929" width="1" style="38" customWidth="1"/>
    <col min="6930" max="6930" width="17.88671875" style="38" customWidth="1"/>
    <col min="6931" max="6934" width="1" style="38" customWidth="1"/>
    <col min="6935" max="6935" width="17.88671875" style="38" customWidth="1"/>
    <col min="6936" max="6939" width="1" style="38" customWidth="1"/>
    <col min="6940" max="6940" width="17.88671875" style="38" customWidth="1"/>
    <col min="6941" max="6944" width="1" style="38" customWidth="1"/>
    <col min="6945" max="6945" width="17.88671875" style="38" customWidth="1"/>
    <col min="6946" max="6949" width="1" style="38" customWidth="1"/>
    <col min="6950" max="6950" width="17.88671875" style="38" customWidth="1"/>
    <col min="6951" max="6954" width="1" style="38" customWidth="1"/>
    <col min="6955" max="6955" width="17.88671875" style="38" customWidth="1"/>
    <col min="6956" max="6957" width="1" style="38" customWidth="1"/>
    <col min="6958" max="6976" width="0" style="38" hidden="1" customWidth="1"/>
    <col min="6977" max="6977" width="1" style="38" customWidth="1"/>
    <col min="6978" max="7012" width="0" style="38" hidden="1" customWidth="1"/>
    <col min="7013" max="7014" width="1" style="38" customWidth="1"/>
    <col min="7015" max="7015" width="17.88671875" style="38" customWidth="1"/>
    <col min="7016" max="7019" width="1" style="38" customWidth="1"/>
    <col min="7020" max="7020" width="17.88671875" style="38" customWidth="1"/>
    <col min="7021" max="7022" width="1" style="38" customWidth="1"/>
    <col min="7023" max="7023" width="1.5546875" style="38" customWidth="1"/>
    <col min="7024" max="7024" width="0.6640625" style="38" customWidth="1"/>
    <col min="7025" max="7025" width="1.88671875" style="38" customWidth="1"/>
    <col min="7026" max="7026" width="10.6640625" style="38" customWidth="1"/>
    <col min="7027" max="7027" width="0" style="38" hidden="1" customWidth="1"/>
    <col min="7028" max="7133" width="10" style="38"/>
    <col min="7134" max="7134" width="1.5546875" style="38" customWidth="1"/>
    <col min="7135" max="7135" width="1.44140625" style="38" customWidth="1"/>
    <col min="7136" max="7136" width="57.5546875" style="38" customWidth="1"/>
    <col min="7137" max="7137" width="2.6640625" style="38" customWidth="1"/>
    <col min="7138" max="7138" width="0" style="38" hidden="1" customWidth="1"/>
    <col min="7139" max="7140" width="1" style="38" customWidth="1"/>
    <col min="7141" max="7141" width="19.6640625" style="38" customWidth="1"/>
    <col min="7142" max="7143" width="1" style="38" customWidth="1"/>
    <col min="7144" max="7144" width="2" style="38" customWidth="1"/>
    <col min="7145" max="7145" width="1" style="38" customWidth="1"/>
    <col min="7146" max="7146" width="17.88671875" style="38" customWidth="1"/>
    <col min="7147" max="7150" width="1" style="38" customWidth="1"/>
    <col min="7151" max="7151" width="17.88671875" style="38" customWidth="1"/>
    <col min="7152" max="7155" width="1" style="38" customWidth="1"/>
    <col min="7156" max="7156" width="17.88671875" style="38" customWidth="1"/>
    <col min="7157" max="7160" width="1" style="38" customWidth="1"/>
    <col min="7161" max="7161" width="17.88671875" style="38" customWidth="1"/>
    <col min="7162" max="7165" width="1" style="38" customWidth="1"/>
    <col min="7166" max="7166" width="17.88671875" style="38" customWidth="1"/>
    <col min="7167" max="7170" width="1" style="38" customWidth="1"/>
    <col min="7171" max="7171" width="17.88671875" style="38" customWidth="1"/>
    <col min="7172" max="7175" width="1" style="38" customWidth="1"/>
    <col min="7176" max="7176" width="17.88671875" style="38" customWidth="1"/>
    <col min="7177" max="7180" width="1" style="38" customWidth="1"/>
    <col min="7181" max="7181" width="17.88671875" style="38" customWidth="1"/>
    <col min="7182" max="7185" width="1" style="38" customWidth="1"/>
    <col min="7186" max="7186" width="17.88671875" style="38" customWidth="1"/>
    <col min="7187" max="7190" width="1" style="38" customWidth="1"/>
    <col min="7191" max="7191" width="17.88671875" style="38" customWidth="1"/>
    <col min="7192" max="7195" width="1" style="38" customWidth="1"/>
    <col min="7196" max="7196" width="17.88671875" style="38" customWidth="1"/>
    <col min="7197" max="7200" width="1" style="38" customWidth="1"/>
    <col min="7201" max="7201" width="17.88671875" style="38" customWidth="1"/>
    <col min="7202" max="7205" width="1" style="38" customWidth="1"/>
    <col min="7206" max="7206" width="17.88671875" style="38" customWidth="1"/>
    <col min="7207" max="7210" width="1" style="38" customWidth="1"/>
    <col min="7211" max="7211" width="17.88671875" style="38" customWidth="1"/>
    <col min="7212" max="7213" width="1" style="38" customWidth="1"/>
    <col min="7214" max="7232" width="0" style="38" hidden="1" customWidth="1"/>
    <col min="7233" max="7233" width="1" style="38" customWidth="1"/>
    <col min="7234" max="7268" width="0" style="38" hidden="1" customWidth="1"/>
    <col min="7269" max="7270" width="1" style="38" customWidth="1"/>
    <col min="7271" max="7271" width="17.88671875" style="38" customWidth="1"/>
    <col min="7272" max="7275" width="1" style="38" customWidth="1"/>
    <col min="7276" max="7276" width="17.88671875" style="38" customWidth="1"/>
    <col min="7277" max="7278" width="1" style="38" customWidth="1"/>
    <col min="7279" max="7279" width="1.5546875" style="38" customWidth="1"/>
    <col min="7280" max="7280" width="0.6640625" style="38" customWidth="1"/>
    <col min="7281" max="7281" width="1.88671875" style="38" customWidth="1"/>
    <col min="7282" max="7282" width="10.6640625" style="38" customWidth="1"/>
    <col min="7283" max="7283" width="0" style="38" hidden="1" customWidth="1"/>
    <col min="7284" max="7389" width="10" style="38"/>
    <col min="7390" max="7390" width="1.5546875" style="38" customWidth="1"/>
    <col min="7391" max="7391" width="1.44140625" style="38" customWidth="1"/>
    <col min="7392" max="7392" width="57.5546875" style="38" customWidth="1"/>
    <col min="7393" max="7393" width="2.6640625" style="38" customWidth="1"/>
    <col min="7394" max="7394" width="0" style="38" hidden="1" customWidth="1"/>
    <col min="7395" max="7396" width="1" style="38" customWidth="1"/>
    <col min="7397" max="7397" width="19.6640625" style="38" customWidth="1"/>
    <col min="7398" max="7399" width="1" style="38" customWidth="1"/>
    <col min="7400" max="7400" width="2" style="38" customWidth="1"/>
    <col min="7401" max="7401" width="1" style="38" customWidth="1"/>
    <col min="7402" max="7402" width="17.88671875" style="38" customWidth="1"/>
    <col min="7403" max="7406" width="1" style="38" customWidth="1"/>
    <col min="7407" max="7407" width="17.88671875" style="38" customWidth="1"/>
    <col min="7408" max="7411" width="1" style="38" customWidth="1"/>
    <col min="7412" max="7412" width="17.88671875" style="38" customWidth="1"/>
    <col min="7413" max="7416" width="1" style="38" customWidth="1"/>
    <col min="7417" max="7417" width="17.88671875" style="38" customWidth="1"/>
    <col min="7418" max="7421" width="1" style="38" customWidth="1"/>
    <col min="7422" max="7422" width="17.88671875" style="38" customWidth="1"/>
    <col min="7423" max="7426" width="1" style="38" customWidth="1"/>
    <col min="7427" max="7427" width="17.88671875" style="38" customWidth="1"/>
    <col min="7428" max="7431" width="1" style="38" customWidth="1"/>
    <col min="7432" max="7432" width="17.88671875" style="38" customWidth="1"/>
    <col min="7433" max="7436" width="1" style="38" customWidth="1"/>
    <col min="7437" max="7437" width="17.88671875" style="38" customWidth="1"/>
    <col min="7438" max="7441" width="1" style="38" customWidth="1"/>
    <col min="7442" max="7442" width="17.88671875" style="38" customWidth="1"/>
    <col min="7443" max="7446" width="1" style="38" customWidth="1"/>
    <col min="7447" max="7447" width="17.88671875" style="38" customWidth="1"/>
    <col min="7448" max="7451" width="1" style="38" customWidth="1"/>
    <col min="7452" max="7452" width="17.88671875" style="38" customWidth="1"/>
    <col min="7453" max="7456" width="1" style="38" customWidth="1"/>
    <col min="7457" max="7457" width="17.88671875" style="38" customWidth="1"/>
    <col min="7458" max="7461" width="1" style="38" customWidth="1"/>
    <col min="7462" max="7462" width="17.88671875" style="38" customWidth="1"/>
    <col min="7463" max="7466" width="1" style="38" customWidth="1"/>
    <col min="7467" max="7467" width="17.88671875" style="38" customWidth="1"/>
    <col min="7468" max="7469" width="1" style="38" customWidth="1"/>
    <col min="7470" max="7488" width="0" style="38" hidden="1" customWidth="1"/>
    <col min="7489" max="7489" width="1" style="38" customWidth="1"/>
    <col min="7490" max="7524" width="0" style="38" hidden="1" customWidth="1"/>
    <col min="7525" max="7526" width="1" style="38" customWidth="1"/>
    <col min="7527" max="7527" width="17.88671875" style="38" customWidth="1"/>
    <col min="7528" max="7531" width="1" style="38" customWidth="1"/>
    <col min="7532" max="7532" width="17.88671875" style="38" customWidth="1"/>
    <col min="7533" max="7534" width="1" style="38" customWidth="1"/>
    <col min="7535" max="7535" width="1.5546875" style="38" customWidth="1"/>
    <col min="7536" max="7536" width="0.6640625" style="38" customWidth="1"/>
    <col min="7537" max="7537" width="1.88671875" style="38" customWidth="1"/>
    <col min="7538" max="7538" width="10.6640625" style="38" customWidth="1"/>
    <col min="7539" max="7539" width="0" style="38" hidden="1" customWidth="1"/>
    <col min="7540" max="7645" width="10" style="38"/>
    <col min="7646" max="7646" width="1.5546875" style="38" customWidth="1"/>
    <col min="7647" max="7647" width="1.44140625" style="38" customWidth="1"/>
    <col min="7648" max="7648" width="57.5546875" style="38" customWidth="1"/>
    <col min="7649" max="7649" width="2.6640625" style="38" customWidth="1"/>
    <col min="7650" max="7650" width="0" style="38" hidden="1" customWidth="1"/>
    <col min="7651" max="7652" width="1" style="38" customWidth="1"/>
    <col min="7653" max="7653" width="19.6640625" style="38" customWidth="1"/>
    <col min="7654" max="7655" width="1" style="38" customWidth="1"/>
    <col min="7656" max="7656" width="2" style="38" customWidth="1"/>
    <col min="7657" max="7657" width="1" style="38" customWidth="1"/>
    <col min="7658" max="7658" width="17.88671875" style="38" customWidth="1"/>
    <col min="7659" max="7662" width="1" style="38" customWidth="1"/>
    <col min="7663" max="7663" width="17.88671875" style="38" customWidth="1"/>
    <col min="7664" max="7667" width="1" style="38" customWidth="1"/>
    <col min="7668" max="7668" width="17.88671875" style="38" customWidth="1"/>
    <col min="7669" max="7672" width="1" style="38" customWidth="1"/>
    <col min="7673" max="7673" width="17.88671875" style="38" customWidth="1"/>
    <col min="7674" max="7677" width="1" style="38" customWidth="1"/>
    <col min="7678" max="7678" width="17.88671875" style="38" customWidth="1"/>
    <col min="7679" max="7682" width="1" style="38" customWidth="1"/>
    <col min="7683" max="7683" width="17.88671875" style="38" customWidth="1"/>
    <col min="7684" max="7687" width="1" style="38" customWidth="1"/>
    <col min="7688" max="7688" width="17.88671875" style="38" customWidth="1"/>
    <col min="7689" max="7692" width="1" style="38" customWidth="1"/>
    <col min="7693" max="7693" width="17.88671875" style="38" customWidth="1"/>
    <col min="7694" max="7697" width="1" style="38" customWidth="1"/>
    <col min="7698" max="7698" width="17.88671875" style="38" customWidth="1"/>
    <col min="7699" max="7702" width="1" style="38" customWidth="1"/>
    <col min="7703" max="7703" width="17.88671875" style="38" customWidth="1"/>
    <col min="7704" max="7707" width="1" style="38" customWidth="1"/>
    <col min="7708" max="7708" width="17.88671875" style="38" customWidth="1"/>
    <col min="7709" max="7712" width="1" style="38" customWidth="1"/>
    <col min="7713" max="7713" width="17.88671875" style="38" customWidth="1"/>
    <col min="7714" max="7717" width="1" style="38" customWidth="1"/>
    <col min="7718" max="7718" width="17.88671875" style="38" customWidth="1"/>
    <col min="7719" max="7722" width="1" style="38" customWidth="1"/>
    <col min="7723" max="7723" width="17.88671875" style="38" customWidth="1"/>
    <col min="7724" max="7725" width="1" style="38" customWidth="1"/>
    <col min="7726" max="7744" width="0" style="38" hidden="1" customWidth="1"/>
    <col min="7745" max="7745" width="1" style="38" customWidth="1"/>
    <col min="7746" max="7780" width="0" style="38" hidden="1" customWidth="1"/>
    <col min="7781" max="7782" width="1" style="38" customWidth="1"/>
    <col min="7783" max="7783" width="17.88671875" style="38" customWidth="1"/>
    <col min="7784" max="7787" width="1" style="38" customWidth="1"/>
    <col min="7788" max="7788" width="17.88671875" style="38" customWidth="1"/>
    <col min="7789" max="7790" width="1" style="38" customWidth="1"/>
    <col min="7791" max="7791" width="1.5546875" style="38" customWidth="1"/>
    <col min="7792" max="7792" width="0.6640625" style="38" customWidth="1"/>
    <col min="7793" max="7793" width="1.88671875" style="38" customWidth="1"/>
    <col min="7794" max="7794" width="10.6640625" style="38" customWidth="1"/>
    <col min="7795" max="7795" width="0" style="38" hidden="1" customWidth="1"/>
    <col min="7796" max="7901" width="10" style="38"/>
    <col min="7902" max="7902" width="1.5546875" style="38" customWidth="1"/>
    <col min="7903" max="7903" width="1.44140625" style="38" customWidth="1"/>
    <col min="7904" max="7904" width="57.5546875" style="38" customWidth="1"/>
    <col min="7905" max="7905" width="2.6640625" style="38" customWidth="1"/>
    <col min="7906" max="7906" width="0" style="38" hidden="1" customWidth="1"/>
    <col min="7907" max="7908" width="1" style="38" customWidth="1"/>
    <col min="7909" max="7909" width="19.6640625" style="38" customWidth="1"/>
    <col min="7910" max="7911" width="1" style="38" customWidth="1"/>
    <col min="7912" max="7912" width="2" style="38" customWidth="1"/>
    <col min="7913" max="7913" width="1" style="38" customWidth="1"/>
    <col min="7914" max="7914" width="17.88671875" style="38" customWidth="1"/>
    <col min="7915" max="7918" width="1" style="38" customWidth="1"/>
    <col min="7919" max="7919" width="17.88671875" style="38" customWidth="1"/>
    <col min="7920" max="7923" width="1" style="38" customWidth="1"/>
    <col min="7924" max="7924" width="17.88671875" style="38" customWidth="1"/>
    <col min="7925" max="7928" width="1" style="38" customWidth="1"/>
    <col min="7929" max="7929" width="17.88671875" style="38" customWidth="1"/>
    <col min="7930" max="7933" width="1" style="38" customWidth="1"/>
    <col min="7934" max="7934" width="17.88671875" style="38" customWidth="1"/>
    <col min="7935" max="7938" width="1" style="38" customWidth="1"/>
    <col min="7939" max="7939" width="17.88671875" style="38" customWidth="1"/>
    <col min="7940" max="7943" width="1" style="38" customWidth="1"/>
    <col min="7944" max="7944" width="17.88671875" style="38" customWidth="1"/>
    <col min="7945" max="7948" width="1" style="38" customWidth="1"/>
    <col min="7949" max="7949" width="17.88671875" style="38" customWidth="1"/>
    <col min="7950" max="7953" width="1" style="38" customWidth="1"/>
    <col min="7954" max="7954" width="17.88671875" style="38" customWidth="1"/>
    <col min="7955" max="7958" width="1" style="38" customWidth="1"/>
    <col min="7959" max="7959" width="17.88671875" style="38" customWidth="1"/>
    <col min="7960" max="7963" width="1" style="38" customWidth="1"/>
    <col min="7964" max="7964" width="17.88671875" style="38" customWidth="1"/>
    <col min="7965" max="7968" width="1" style="38" customWidth="1"/>
    <col min="7969" max="7969" width="17.88671875" style="38" customWidth="1"/>
    <col min="7970" max="7973" width="1" style="38" customWidth="1"/>
    <col min="7974" max="7974" width="17.88671875" style="38" customWidth="1"/>
    <col min="7975" max="7978" width="1" style="38" customWidth="1"/>
    <col min="7979" max="7979" width="17.88671875" style="38" customWidth="1"/>
    <col min="7980" max="7981" width="1" style="38" customWidth="1"/>
    <col min="7982" max="8000" width="0" style="38" hidden="1" customWidth="1"/>
    <col min="8001" max="8001" width="1" style="38" customWidth="1"/>
    <col min="8002" max="8036" width="0" style="38" hidden="1" customWidth="1"/>
    <col min="8037" max="8038" width="1" style="38" customWidth="1"/>
    <col min="8039" max="8039" width="17.88671875" style="38" customWidth="1"/>
    <col min="8040" max="8043" width="1" style="38" customWidth="1"/>
    <col min="8044" max="8044" width="17.88671875" style="38" customWidth="1"/>
    <col min="8045" max="8046" width="1" style="38" customWidth="1"/>
    <col min="8047" max="8047" width="1.5546875" style="38" customWidth="1"/>
    <col min="8048" max="8048" width="0.6640625" style="38" customWidth="1"/>
    <col min="8049" max="8049" width="1.88671875" style="38" customWidth="1"/>
    <col min="8050" max="8050" width="10.6640625" style="38" customWidth="1"/>
    <col min="8051" max="8051" width="0" style="38" hidden="1" customWidth="1"/>
    <col min="8052" max="8157" width="10" style="38"/>
    <col min="8158" max="8158" width="1.5546875" style="38" customWidth="1"/>
    <col min="8159" max="8159" width="1.44140625" style="38" customWidth="1"/>
    <col min="8160" max="8160" width="57.5546875" style="38" customWidth="1"/>
    <col min="8161" max="8161" width="2.6640625" style="38" customWidth="1"/>
    <col min="8162" max="8162" width="0" style="38" hidden="1" customWidth="1"/>
    <col min="8163" max="8164" width="1" style="38" customWidth="1"/>
    <col min="8165" max="8165" width="19.6640625" style="38" customWidth="1"/>
    <col min="8166" max="8167" width="1" style="38" customWidth="1"/>
    <col min="8168" max="8168" width="2" style="38" customWidth="1"/>
    <col min="8169" max="8169" width="1" style="38" customWidth="1"/>
    <col min="8170" max="8170" width="17.88671875" style="38" customWidth="1"/>
    <col min="8171" max="8174" width="1" style="38" customWidth="1"/>
    <col min="8175" max="8175" width="17.88671875" style="38" customWidth="1"/>
    <col min="8176" max="8179" width="1" style="38" customWidth="1"/>
    <col min="8180" max="8180" width="17.88671875" style="38" customWidth="1"/>
    <col min="8181" max="8184" width="1" style="38" customWidth="1"/>
    <col min="8185" max="8185" width="17.88671875" style="38" customWidth="1"/>
    <col min="8186" max="8189" width="1" style="38" customWidth="1"/>
    <col min="8190" max="8190" width="17.88671875" style="38" customWidth="1"/>
    <col min="8191" max="8194" width="1" style="38" customWidth="1"/>
    <col min="8195" max="8195" width="17.88671875" style="38" customWidth="1"/>
    <col min="8196" max="8199" width="1" style="38" customWidth="1"/>
    <col min="8200" max="8200" width="17.88671875" style="38" customWidth="1"/>
    <col min="8201" max="8204" width="1" style="38" customWidth="1"/>
    <col min="8205" max="8205" width="17.88671875" style="38" customWidth="1"/>
    <col min="8206" max="8209" width="1" style="38" customWidth="1"/>
    <col min="8210" max="8210" width="17.88671875" style="38" customWidth="1"/>
    <col min="8211" max="8214" width="1" style="38" customWidth="1"/>
    <col min="8215" max="8215" width="17.88671875" style="38" customWidth="1"/>
    <col min="8216" max="8219" width="1" style="38" customWidth="1"/>
    <col min="8220" max="8220" width="17.88671875" style="38" customWidth="1"/>
    <col min="8221" max="8224" width="1" style="38" customWidth="1"/>
    <col min="8225" max="8225" width="17.88671875" style="38" customWidth="1"/>
    <col min="8226" max="8229" width="1" style="38" customWidth="1"/>
    <col min="8230" max="8230" width="17.88671875" style="38" customWidth="1"/>
    <col min="8231" max="8234" width="1" style="38" customWidth="1"/>
    <col min="8235" max="8235" width="17.88671875" style="38" customWidth="1"/>
    <col min="8236" max="8237" width="1" style="38" customWidth="1"/>
    <col min="8238" max="8256" width="0" style="38" hidden="1" customWidth="1"/>
    <col min="8257" max="8257" width="1" style="38" customWidth="1"/>
    <col min="8258" max="8292" width="0" style="38" hidden="1" customWidth="1"/>
    <col min="8293" max="8294" width="1" style="38" customWidth="1"/>
    <col min="8295" max="8295" width="17.88671875" style="38" customWidth="1"/>
    <col min="8296" max="8299" width="1" style="38" customWidth="1"/>
    <col min="8300" max="8300" width="17.88671875" style="38" customWidth="1"/>
    <col min="8301" max="8302" width="1" style="38" customWidth="1"/>
    <col min="8303" max="8303" width="1.5546875" style="38" customWidth="1"/>
    <col min="8304" max="8304" width="0.6640625" style="38" customWidth="1"/>
    <col min="8305" max="8305" width="1.88671875" style="38" customWidth="1"/>
    <col min="8306" max="8306" width="10.6640625" style="38" customWidth="1"/>
    <col min="8307" max="8307" width="0" style="38" hidden="1" customWidth="1"/>
    <col min="8308" max="8413" width="10" style="38"/>
    <col min="8414" max="8414" width="1.5546875" style="38" customWidth="1"/>
    <col min="8415" max="8415" width="1.44140625" style="38" customWidth="1"/>
    <col min="8416" max="8416" width="57.5546875" style="38" customWidth="1"/>
    <col min="8417" max="8417" width="2.6640625" style="38" customWidth="1"/>
    <col min="8418" max="8418" width="0" style="38" hidden="1" customWidth="1"/>
    <col min="8419" max="8420" width="1" style="38" customWidth="1"/>
    <col min="8421" max="8421" width="19.6640625" style="38" customWidth="1"/>
    <col min="8422" max="8423" width="1" style="38" customWidth="1"/>
    <col min="8424" max="8424" width="2" style="38" customWidth="1"/>
    <col min="8425" max="8425" width="1" style="38" customWidth="1"/>
    <col min="8426" max="8426" width="17.88671875" style="38" customWidth="1"/>
    <col min="8427" max="8430" width="1" style="38" customWidth="1"/>
    <col min="8431" max="8431" width="17.88671875" style="38" customWidth="1"/>
    <col min="8432" max="8435" width="1" style="38" customWidth="1"/>
    <col min="8436" max="8436" width="17.88671875" style="38" customWidth="1"/>
    <col min="8437" max="8440" width="1" style="38" customWidth="1"/>
    <col min="8441" max="8441" width="17.88671875" style="38" customWidth="1"/>
    <col min="8442" max="8445" width="1" style="38" customWidth="1"/>
    <col min="8446" max="8446" width="17.88671875" style="38" customWidth="1"/>
    <col min="8447" max="8450" width="1" style="38" customWidth="1"/>
    <col min="8451" max="8451" width="17.88671875" style="38" customWidth="1"/>
    <col min="8452" max="8455" width="1" style="38" customWidth="1"/>
    <col min="8456" max="8456" width="17.88671875" style="38" customWidth="1"/>
    <col min="8457" max="8460" width="1" style="38" customWidth="1"/>
    <col min="8461" max="8461" width="17.88671875" style="38" customWidth="1"/>
    <col min="8462" max="8465" width="1" style="38" customWidth="1"/>
    <col min="8466" max="8466" width="17.88671875" style="38" customWidth="1"/>
    <col min="8467" max="8470" width="1" style="38" customWidth="1"/>
    <col min="8471" max="8471" width="17.88671875" style="38" customWidth="1"/>
    <col min="8472" max="8475" width="1" style="38" customWidth="1"/>
    <col min="8476" max="8476" width="17.88671875" style="38" customWidth="1"/>
    <col min="8477" max="8480" width="1" style="38" customWidth="1"/>
    <col min="8481" max="8481" width="17.88671875" style="38" customWidth="1"/>
    <col min="8482" max="8485" width="1" style="38" customWidth="1"/>
    <col min="8486" max="8486" width="17.88671875" style="38" customWidth="1"/>
    <col min="8487" max="8490" width="1" style="38" customWidth="1"/>
    <col min="8491" max="8491" width="17.88671875" style="38" customWidth="1"/>
    <col min="8492" max="8493" width="1" style="38" customWidth="1"/>
    <col min="8494" max="8512" width="0" style="38" hidden="1" customWidth="1"/>
    <col min="8513" max="8513" width="1" style="38" customWidth="1"/>
    <col min="8514" max="8548" width="0" style="38" hidden="1" customWidth="1"/>
    <col min="8549" max="8550" width="1" style="38" customWidth="1"/>
    <col min="8551" max="8551" width="17.88671875" style="38" customWidth="1"/>
    <col min="8552" max="8555" width="1" style="38" customWidth="1"/>
    <col min="8556" max="8556" width="17.88671875" style="38" customWidth="1"/>
    <col min="8557" max="8558" width="1" style="38" customWidth="1"/>
    <col min="8559" max="8559" width="1.5546875" style="38" customWidth="1"/>
    <col min="8560" max="8560" width="0.6640625" style="38" customWidth="1"/>
    <col min="8561" max="8561" width="1.88671875" style="38" customWidth="1"/>
    <col min="8562" max="8562" width="10.6640625" style="38" customWidth="1"/>
    <col min="8563" max="8563" width="0" style="38" hidden="1" customWidth="1"/>
    <col min="8564" max="8669" width="10" style="38"/>
    <col min="8670" max="8670" width="1.5546875" style="38" customWidth="1"/>
    <col min="8671" max="8671" width="1.44140625" style="38" customWidth="1"/>
    <col min="8672" max="8672" width="57.5546875" style="38" customWidth="1"/>
    <col min="8673" max="8673" width="2.6640625" style="38" customWidth="1"/>
    <col min="8674" max="8674" width="0" style="38" hidden="1" customWidth="1"/>
    <col min="8675" max="8676" width="1" style="38" customWidth="1"/>
    <col min="8677" max="8677" width="19.6640625" style="38" customWidth="1"/>
    <col min="8678" max="8679" width="1" style="38" customWidth="1"/>
    <col min="8680" max="8680" width="2" style="38" customWidth="1"/>
    <col min="8681" max="8681" width="1" style="38" customWidth="1"/>
    <col min="8682" max="8682" width="17.88671875" style="38" customWidth="1"/>
    <col min="8683" max="8686" width="1" style="38" customWidth="1"/>
    <col min="8687" max="8687" width="17.88671875" style="38" customWidth="1"/>
    <col min="8688" max="8691" width="1" style="38" customWidth="1"/>
    <col min="8692" max="8692" width="17.88671875" style="38" customWidth="1"/>
    <col min="8693" max="8696" width="1" style="38" customWidth="1"/>
    <col min="8697" max="8697" width="17.88671875" style="38" customWidth="1"/>
    <col min="8698" max="8701" width="1" style="38" customWidth="1"/>
    <col min="8702" max="8702" width="17.88671875" style="38" customWidth="1"/>
    <col min="8703" max="8706" width="1" style="38" customWidth="1"/>
    <col min="8707" max="8707" width="17.88671875" style="38" customWidth="1"/>
    <col min="8708" max="8711" width="1" style="38" customWidth="1"/>
    <col min="8712" max="8712" width="17.88671875" style="38" customWidth="1"/>
    <col min="8713" max="8716" width="1" style="38" customWidth="1"/>
    <col min="8717" max="8717" width="17.88671875" style="38" customWidth="1"/>
    <col min="8718" max="8721" width="1" style="38" customWidth="1"/>
    <col min="8722" max="8722" width="17.88671875" style="38" customWidth="1"/>
    <col min="8723" max="8726" width="1" style="38" customWidth="1"/>
    <col min="8727" max="8727" width="17.88671875" style="38" customWidth="1"/>
    <col min="8728" max="8731" width="1" style="38" customWidth="1"/>
    <col min="8732" max="8732" width="17.88671875" style="38" customWidth="1"/>
    <col min="8733" max="8736" width="1" style="38" customWidth="1"/>
    <col min="8737" max="8737" width="17.88671875" style="38" customWidth="1"/>
    <col min="8738" max="8741" width="1" style="38" customWidth="1"/>
    <col min="8742" max="8742" width="17.88671875" style="38" customWidth="1"/>
    <col min="8743" max="8746" width="1" style="38" customWidth="1"/>
    <col min="8747" max="8747" width="17.88671875" style="38" customWidth="1"/>
    <col min="8748" max="8749" width="1" style="38" customWidth="1"/>
    <col min="8750" max="8768" width="0" style="38" hidden="1" customWidth="1"/>
    <col min="8769" max="8769" width="1" style="38" customWidth="1"/>
    <col min="8770" max="8804" width="0" style="38" hidden="1" customWidth="1"/>
    <col min="8805" max="8806" width="1" style="38" customWidth="1"/>
    <col min="8807" max="8807" width="17.88671875" style="38" customWidth="1"/>
    <col min="8808" max="8811" width="1" style="38" customWidth="1"/>
    <col min="8812" max="8812" width="17.88671875" style="38" customWidth="1"/>
    <col min="8813" max="8814" width="1" style="38" customWidth="1"/>
    <col min="8815" max="8815" width="1.5546875" style="38" customWidth="1"/>
    <col min="8816" max="8816" width="0.6640625" style="38" customWidth="1"/>
    <col min="8817" max="8817" width="1.88671875" style="38" customWidth="1"/>
    <col min="8818" max="8818" width="10.6640625" style="38" customWidth="1"/>
    <col min="8819" max="8819" width="0" style="38" hidden="1" customWidth="1"/>
    <col min="8820" max="8925" width="10" style="38"/>
    <col min="8926" max="8926" width="1.5546875" style="38" customWidth="1"/>
    <col min="8927" max="8927" width="1.44140625" style="38" customWidth="1"/>
    <col min="8928" max="8928" width="57.5546875" style="38" customWidth="1"/>
    <col min="8929" max="8929" width="2.6640625" style="38" customWidth="1"/>
    <col min="8930" max="8930" width="0" style="38" hidden="1" customWidth="1"/>
    <col min="8931" max="8932" width="1" style="38" customWidth="1"/>
    <col min="8933" max="8933" width="19.6640625" style="38" customWidth="1"/>
    <col min="8934" max="8935" width="1" style="38" customWidth="1"/>
    <col min="8936" max="8936" width="2" style="38" customWidth="1"/>
    <col min="8937" max="8937" width="1" style="38" customWidth="1"/>
    <col min="8938" max="8938" width="17.88671875" style="38" customWidth="1"/>
    <col min="8939" max="8942" width="1" style="38" customWidth="1"/>
    <col min="8943" max="8943" width="17.88671875" style="38" customWidth="1"/>
    <col min="8944" max="8947" width="1" style="38" customWidth="1"/>
    <col min="8948" max="8948" width="17.88671875" style="38" customWidth="1"/>
    <col min="8949" max="8952" width="1" style="38" customWidth="1"/>
    <col min="8953" max="8953" width="17.88671875" style="38" customWidth="1"/>
    <col min="8954" max="8957" width="1" style="38" customWidth="1"/>
    <col min="8958" max="8958" width="17.88671875" style="38" customWidth="1"/>
    <col min="8959" max="8962" width="1" style="38" customWidth="1"/>
    <col min="8963" max="8963" width="17.88671875" style="38" customWidth="1"/>
    <col min="8964" max="8967" width="1" style="38" customWidth="1"/>
    <col min="8968" max="8968" width="17.88671875" style="38" customWidth="1"/>
    <col min="8969" max="8972" width="1" style="38" customWidth="1"/>
    <col min="8973" max="8973" width="17.88671875" style="38" customWidth="1"/>
    <col min="8974" max="8977" width="1" style="38" customWidth="1"/>
    <col min="8978" max="8978" width="17.88671875" style="38" customWidth="1"/>
    <col min="8979" max="8982" width="1" style="38" customWidth="1"/>
    <col min="8983" max="8983" width="17.88671875" style="38" customWidth="1"/>
    <col min="8984" max="8987" width="1" style="38" customWidth="1"/>
    <col min="8988" max="8988" width="17.88671875" style="38" customWidth="1"/>
    <col min="8989" max="8992" width="1" style="38" customWidth="1"/>
    <col min="8993" max="8993" width="17.88671875" style="38" customWidth="1"/>
    <col min="8994" max="8997" width="1" style="38" customWidth="1"/>
    <col min="8998" max="8998" width="17.88671875" style="38" customWidth="1"/>
    <col min="8999" max="9002" width="1" style="38" customWidth="1"/>
    <col min="9003" max="9003" width="17.88671875" style="38" customWidth="1"/>
    <col min="9004" max="9005" width="1" style="38" customWidth="1"/>
    <col min="9006" max="9024" width="0" style="38" hidden="1" customWidth="1"/>
    <col min="9025" max="9025" width="1" style="38" customWidth="1"/>
    <col min="9026" max="9060" width="0" style="38" hidden="1" customWidth="1"/>
    <col min="9061" max="9062" width="1" style="38" customWidth="1"/>
    <col min="9063" max="9063" width="17.88671875" style="38" customWidth="1"/>
    <col min="9064" max="9067" width="1" style="38" customWidth="1"/>
    <col min="9068" max="9068" width="17.88671875" style="38" customWidth="1"/>
    <col min="9069" max="9070" width="1" style="38" customWidth="1"/>
    <col min="9071" max="9071" width="1.5546875" style="38" customWidth="1"/>
    <col min="9072" max="9072" width="0.6640625" style="38" customWidth="1"/>
    <col min="9073" max="9073" width="1.88671875" style="38" customWidth="1"/>
    <col min="9074" max="9074" width="10.6640625" style="38" customWidth="1"/>
    <col min="9075" max="9075" width="0" style="38" hidden="1" customWidth="1"/>
    <col min="9076" max="9181" width="10" style="38"/>
    <col min="9182" max="9182" width="1.5546875" style="38" customWidth="1"/>
    <col min="9183" max="9183" width="1.44140625" style="38" customWidth="1"/>
    <col min="9184" max="9184" width="57.5546875" style="38" customWidth="1"/>
    <col min="9185" max="9185" width="2.6640625" style="38" customWidth="1"/>
    <col min="9186" max="9186" width="0" style="38" hidden="1" customWidth="1"/>
    <col min="9187" max="9188" width="1" style="38" customWidth="1"/>
    <col min="9189" max="9189" width="19.6640625" style="38" customWidth="1"/>
    <col min="9190" max="9191" width="1" style="38" customWidth="1"/>
    <col min="9192" max="9192" width="2" style="38" customWidth="1"/>
    <col min="9193" max="9193" width="1" style="38" customWidth="1"/>
    <col min="9194" max="9194" width="17.88671875" style="38" customWidth="1"/>
    <col min="9195" max="9198" width="1" style="38" customWidth="1"/>
    <col min="9199" max="9199" width="17.88671875" style="38" customWidth="1"/>
    <col min="9200" max="9203" width="1" style="38" customWidth="1"/>
    <col min="9204" max="9204" width="17.88671875" style="38" customWidth="1"/>
    <col min="9205" max="9208" width="1" style="38" customWidth="1"/>
    <col min="9209" max="9209" width="17.88671875" style="38" customWidth="1"/>
    <col min="9210" max="9213" width="1" style="38" customWidth="1"/>
    <col min="9214" max="9214" width="17.88671875" style="38" customWidth="1"/>
    <col min="9215" max="9218" width="1" style="38" customWidth="1"/>
    <col min="9219" max="9219" width="17.88671875" style="38" customWidth="1"/>
    <col min="9220" max="9223" width="1" style="38" customWidth="1"/>
    <col min="9224" max="9224" width="17.88671875" style="38" customWidth="1"/>
    <col min="9225" max="9228" width="1" style="38" customWidth="1"/>
    <col min="9229" max="9229" width="17.88671875" style="38" customWidth="1"/>
    <col min="9230" max="9233" width="1" style="38" customWidth="1"/>
    <col min="9234" max="9234" width="17.88671875" style="38" customWidth="1"/>
    <col min="9235" max="9238" width="1" style="38" customWidth="1"/>
    <col min="9239" max="9239" width="17.88671875" style="38" customWidth="1"/>
    <col min="9240" max="9243" width="1" style="38" customWidth="1"/>
    <col min="9244" max="9244" width="17.88671875" style="38" customWidth="1"/>
    <col min="9245" max="9248" width="1" style="38" customWidth="1"/>
    <col min="9249" max="9249" width="17.88671875" style="38" customWidth="1"/>
    <col min="9250" max="9253" width="1" style="38" customWidth="1"/>
    <col min="9254" max="9254" width="17.88671875" style="38" customWidth="1"/>
    <col min="9255" max="9258" width="1" style="38" customWidth="1"/>
    <col min="9259" max="9259" width="17.88671875" style="38" customWidth="1"/>
    <col min="9260" max="9261" width="1" style="38" customWidth="1"/>
    <col min="9262" max="9280" width="0" style="38" hidden="1" customWidth="1"/>
    <col min="9281" max="9281" width="1" style="38" customWidth="1"/>
    <col min="9282" max="9316" width="0" style="38" hidden="1" customWidth="1"/>
    <col min="9317" max="9318" width="1" style="38" customWidth="1"/>
    <col min="9319" max="9319" width="17.88671875" style="38" customWidth="1"/>
    <col min="9320" max="9323" width="1" style="38" customWidth="1"/>
    <col min="9324" max="9324" width="17.88671875" style="38" customWidth="1"/>
    <col min="9325" max="9326" width="1" style="38" customWidth="1"/>
    <col min="9327" max="9327" width="1.5546875" style="38" customWidth="1"/>
    <col min="9328" max="9328" width="0.6640625" style="38" customWidth="1"/>
    <col min="9329" max="9329" width="1.88671875" style="38" customWidth="1"/>
    <col min="9330" max="9330" width="10.6640625" style="38" customWidth="1"/>
    <col min="9331" max="9331" width="0" style="38" hidden="1" customWidth="1"/>
    <col min="9332" max="9437" width="10" style="38"/>
    <col min="9438" max="9438" width="1.5546875" style="38" customWidth="1"/>
    <col min="9439" max="9439" width="1.44140625" style="38" customWidth="1"/>
    <col min="9440" max="9440" width="57.5546875" style="38" customWidth="1"/>
    <col min="9441" max="9441" width="2.6640625" style="38" customWidth="1"/>
    <col min="9442" max="9442" width="0" style="38" hidden="1" customWidth="1"/>
    <col min="9443" max="9444" width="1" style="38" customWidth="1"/>
    <col min="9445" max="9445" width="19.6640625" style="38" customWidth="1"/>
    <col min="9446" max="9447" width="1" style="38" customWidth="1"/>
    <col min="9448" max="9448" width="2" style="38" customWidth="1"/>
    <col min="9449" max="9449" width="1" style="38" customWidth="1"/>
    <col min="9450" max="9450" width="17.88671875" style="38" customWidth="1"/>
    <col min="9451" max="9454" width="1" style="38" customWidth="1"/>
    <col min="9455" max="9455" width="17.88671875" style="38" customWidth="1"/>
    <col min="9456" max="9459" width="1" style="38" customWidth="1"/>
    <col min="9460" max="9460" width="17.88671875" style="38" customWidth="1"/>
    <col min="9461" max="9464" width="1" style="38" customWidth="1"/>
    <col min="9465" max="9465" width="17.88671875" style="38" customWidth="1"/>
    <col min="9466" max="9469" width="1" style="38" customWidth="1"/>
    <col min="9470" max="9470" width="17.88671875" style="38" customWidth="1"/>
    <col min="9471" max="9474" width="1" style="38" customWidth="1"/>
    <col min="9475" max="9475" width="17.88671875" style="38" customWidth="1"/>
    <col min="9476" max="9479" width="1" style="38" customWidth="1"/>
    <col min="9480" max="9480" width="17.88671875" style="38" customWidth="1"/>
    <col min="9481" max="9484" width="1" style="38" customWidth="1"/>
    <col min="9485" max="9485" width="17.88671875" style="38" customWidth="1"/>
    <col min="9486" max="9489" width="1" style="38" customWidth="1"/>
    <col min="9490" max="9490" width="17.88671875" style="38" customWidth="1"/>
    <col min="9491" max="9494" width="1" style="38" customWidth="1"/>
    <col min="9495" max="9495" width="17.88671875" style="38" customWidth="1"/>
    <col min="9496" max="9499" width="1" style="38" customWidth="1"/>
    <col min="9500" max="9500" width="17.88671875" style="38" customWidth="1"/>
    <col min="9501" max="9504" width="1" style="38" customWidth="1"/>
    <col min="9505" max="9505" width="17.88671875" style="38" customWidth="1"/>
    <col min="9506" max="9509" width="1" style="38" customWidth="1"/>
    <col min="9510" max="9510" width="17.88671875" style="38" customWidth="1"/>
    <col min="9511" max="9514" width="1" style="38" customWidth="1"/>
    <col min="9515" max="9515" width="17.88671875" style="38" customWidth="1"/>
    <col min="9516" max="9517" width="1" style="38" customWidth="1"/>
    <col min="9518" max="9536" width="0" style="38" hidden="1" customWidth="1"/>
    <col min="9537" max="9537" width="1" style="38" customWidth="1"/>
    <col min="9538" max="9572" width="0" style="38" hidden="1" customWidth="1"/>
    <col min="9573" max="9574" width="1" style="38" customWidth="1"/>
    <col min="9575" max="9575" width="17.88671875" style="38" customWidth="1"/>
    <col min="9576" max="9579" width="1" style="38" customWidth="1"/>
    <col min="9580" max="9580" width="17.88671875" style="38" customWidth="1"/>
    <col min="9581" max="9582" width="1" style="38" customWidth="1"/>
    <col min="9583" max="9583" width="1.5546875" style="38" customWidth="1"/>
    <col min="9584" max="9584" width="0.6640625" style="38" customWidth="1"/>
    <col min="9585" max="9585" width="1.88671875" style="38" customWidth="1"/>
    <col min="9586" max="9586" width="10.6640625" style="38" customWidth="1"/>
    <col min="9587" max="9587" width="0" style="38" hidden="1" customWidth="1"/>
    <col min="9588" max="9693" width="10" style="38"/>
    <col min="9694" max="9694" width="1.5546875" style="38" customWidth="1"/>
    <col min="9695" max="9695" width="1.44140625" style="38" customWidth="1"/>
    <col min="9696" max="9696" width="57.5546875" style="38" customWidth="1"/>
    <col min="9697" max="9697" width="2.6640625" style="38" customWidth="1"/>
    <col min="9698" max="9698" width="0" style="38" hidden="1" customWidth="1"/>
    <col min="9699" max="9700" width="1" style="38" customWidth="1"/>
    <col min="9701" max="9701" width="19.6640625" style="38" customWidth="1"/>
    <col min="9702" max="9703" width="1" style="38" customWidth="1"/>
    <col min="9704" max="9704" width="2" style="38" customWidth="1"/>
    <col min="9705" max="9705" width="1" style="38" customWidth="1"/>
    <col min="9706" max="9706" width="17.88671875" style="38" customWidth="1"/>
    <col min="9707" max="9710" width="1" style="38" customWidth="1"/>
    <col min="9711" max="9711" width="17.88671875" style="38" customWidth="1"/>
    <col min="9712" max="9715" width="1" style="38" customWidth="1"/>
    <col min="9716" max="9716" width="17.88671875" style="38" customWidth="1"/>
    <col min="9717" max="9720" width="1" style="38" customWidth="1"/>
    <col min="9721" max="9721" width="17.88671875" style="38" customWidth="1"/>
    <col min="9722" max="9725" width="1" style="38" customWidth="1"/>
    <col min="9726" max="9726" width="17.88671875" style="38" customWidth="1"/>
    <col min="9727" max="9730" width="1" style="38" customWidth="1"/>
    <col min="9731" max="9731" width="17.88671875" style="38" customWidth="1"/>
    <col min="9732" max="9735" width="1" style="38" customWidth="1"/>
    <col min="9736" max="9736" width="17.88671875" style="38" customWidth="1"/>
    <col min="9737" max="9740" width="1" style="38" customWidth="1"/>
    <col min="9741" max="9741" width="17.88671875" style="38" customWidth="1"/>
    <col min="9742" max="9745" width="1" style="38" customWidth="1"/>
    <col min="9746" max="9746" width="17.88671875" style="38" customWidth="1"/>
    <col min="9747" max="9750" width="1" style="38" customWidth="1"/>
    <col min="9751" max="9751" width="17.88671875" style="38" customWidth="1"/>
    <col min="9752" max="9755" width="1" style="38" customWidth="1"/>
    <col min="9756" max="9756" width="17.88671875" style="38" customWidth="1"/>
    <col min="9757" max="9760" width="1" style="38" customWidth="1"/>
    <col min="9761" max="9761" width="17.88671875" style="38" customWidth="1"/>
    <col min="9762" max="9765" width="1" style="38" customWidth="1"/>
    <col min="9766" max="9766" width="17.88671875" style="38" customWidth="1"/>
    <col min="9767" max="9770" width="1" style="38" customWidth="1"/>
    <col min="9771" max="9771" width="17.88671875" style="38" customWidth="1"/>
    <col min="9772" max="9773" width="1" style="38" customWidth="1"/>
    <col min="9774" max="9792" width="0" style="38" hidden="1" customWidth="1"/>
    <col min="9793" max="9793" width="1" style="38" customWidth="1"/>
    <col min="9794" max="9828" width="0" style="38" hidden="1" customWidth="1"/>
    <col min="9829" max="9830" width="1" style="38" customWidth="1"/>
    <col min="9831" max="9831" width="17.88671875" style="38" customWidth="1"/>
    <col min="9832" max="9835" width="1" style="38" customWidth="1"/>
    <col min="9836" max="9836" width="17.88671875" style="38" customWidth="1"/>
    <col min="9837" max="9838" width="1" style="38" customWidth="1"/>
    <col min="9839" max="9839" width="1.5546875" style="38" customWidth="1"/>
    <col min="9840" max="9840" width="0.6640625" style="38" customWidth="1"/>
    <col min="9841" max="9841" width="1.88671875" style="38" customWidth="1"/>
    <col min="9842" max="9842" width="10.6640625" style="38" customWidth="1"/>
    <col min="9843" max="9843" width="0" style="38" hidden="1" customWidth="1"/>
    <col min="9844" max="9949" width="10" style="38"/>
    <col min="9950" max="9950" width="1.5546875" style="38" customWidth="1"/>
    <col min="9951" max="9951" width="1.44140625" style="38" customWidth="1"/>
    <col min="9952" max="9952" width="57.5546875" style="38" customWidth="1"/>
    <col min="9953" max="9953" width="2.6640625" style="38" customWidth="1"/>
    <col min="9954" max="9954" width="0" style="38" hidden="1" customWidth="1"/>
    <col min="9955" max="9956" width="1" style="38" customWidth="1"/>
    <col min="9957" max="9957" width="19.6640625" style="38" customWidth="1"/>
    <col min="9958" max="9959" width="1" style="38" customWidth="1"/>
    <col min="9960" max="9960" width="2" style="38" customWidth="1"/>
    <col min="9961" max="9961" width="1" style="38" customWidth="1"/>
    <col min="9962" max="9962" width="17.88671875" style="38" customWidth="1"/>
    <col min="9963" max="9966" width="1" style="38" customWidth="1"/>
    <col min="9967" max="9967" width="17.88671875" style="38" customWidth="1"/>
    <col min="9968" max="9971" width="1" style="38" customWidth="1"/>
    <col min="9972" max="9972" width="17.88671875" style="38" customWidth="1"/>
    <col min="9973" max="9976" width="1" style="38" customWidth="1"/>
    <col min="9977" max="9977" width="17.88671875" style="38" customWidth="1"/>
    <col min="9978" max="9981" width="1" style="38" customWidth="1"/>
    <col min="9982" max="9982" width="17.88671875" style="38" customWidth="1"/>
    <col min="9983" max="9986" width="1" style="38" customWidth="1"/>
    <col min="9987" max="9987" width="17.88671875" style="38" customWidth="1"/>
    <col min="9988" max="9991" width="1" style="38" customWidth="1"/>
    <col min="9992" max="9992" width="17.88671875" style="38" customWidth="1"/>
    <col min="9993" max="9996" width="1" style="38" customWidth="1"/>
    <col min="9997" max="9997" width="17.88671875" style="38" customWidth="1"/>
    <col min="9998" max="10001" width="1" style="38" customWidth="1"/>
    <col min="10002" max="10002" width="17.88671875" style="38" customWidth="1"/>
    <col min="10003" max="10006" width="1" style="38" customWidth="1"/>
    <col min="10007" max="10007" width="17.88671875" style="38" customWidth="1"/>
    <col min="10008" max="10011" width="1" style="38" customWidth="1"/>
    <col min="10012" max="10012" width="17.88671875" style="38" customWidth="1"/>
    <col min="10013" max="10016" width="1" style="38" customWidth="1"/>
    <col min="10017" max="10017" width="17.88671875" style="38" customWidth="1"/>
    <col min="10018" max="10021" width="1" style="38" customWidth="1"/>
    <col min="10022" max="10022" width="17.88671875" style="38" customWidth="1"/>
    <col min="10023" max="10026" width="1" style="38" customWidth="1"/>
    <col min="10027" max="10027" width="17.88671875" style="38" customWidth="1"/>
    <col min="10028" max="10029" width="1" style="38" customWidth="1"/>
    <col min="10030" max="10048" width="0" style="38" hidden="1" customWidth="1"/>
    <col min="10049" max="10049" width="1" style="38" customWidth="1"/>
    <col min="10050" max="10084" width="0" style="38" hidden="1" customWidth="1"/>
    <col min="10085" max="10086" width="1" style="38" customWidth="1"/>
    <col min="10087" max="10087" width="17.88671875" style="38" customWidth="1"/>
    <col min="10088" max="10091" width="1" style="38" customWidth="1"/>
    <col min="10092" max="10092" width="17.88671875" style="38" customWidth="1"/>
    <col min="10093" max="10094" width="1" style="38" customWidth="1"/>
    <col min="10095" max="10095" width="1.5546875" style="38" customWidth="1"/>
    <col min="10096" max="10096" width="0.6640625" style="38" customWidth="1"/>
    <col min="10097" max="10097" width="1.88671875" style="38" customWidth="1"/>
    <col min="10098" max="10098" width="10.6640625" style="38" customWidth="1"/>
    <col min="10099" max="10099" width="0" style="38" hidden="1" customWidth="1"/>
    <col min="10100" max="10205" width="10" style="38"/>
    <col min="10206" max="10206" width="1.5546875" style="38" customWidth="1"/>
    <col min="10207" max="10207" width="1.44140625" style="38" customWidth="1"/>
    <col min="10208" max="10208" width="57.5546875" style="38" customWidth="1"/>
    <col min="10209" max="10209" width="2.6640625" style="38" customWidth="1"/>
    <col min="10210" max="10210" width="0" style="38" hidden="1" customWidth="1"/>
    <col min="10211" max="10212" width="1" style="38" customWidth="1"/>
    <col min="10213" max="10213" width="19.6640625" style="38" customWidth="1"/>
    <col min="10214" max="10215" width="1" style="38" customWidth="1"/>
    <col min="10216" max="10216" width="2" style="38" customWidth="1"/>
    <col min="10217" max="10217" width="1" style="38" customWidth="1"/>
    <col min="10218" max="10218" width="17.88671875" style="38" customWidth="1"/>
    <col min="10219" max="10222" width="1" style="38" customWidth="1"/>
    <col min="10223" max="10223" width="17.88671875" style="38" customWidth="1"/>
    <col min="10224" max="10227" width="1" style="38" customWidth="1"/>
    <col min="10228" max="10228" width="17.88671875" style="38" customWidth="1"/>
    <col min="10229" max="10232" width="1" style="38" customWidth="1"/>
    <col min="10233" max="10233" width="17.88671875" style="38" customWidth="1"/>
    <col min="10234" max="10237" width="1" style="38" customWidth="1"/>
    <col min="10238" max="10238" width="17.88671875" style="38" customWidth="1"/>
    <col min="10239" max="10242" width="1" style="38" customWidth="1"/>
    <col min="10243" max="10243" width="17.88671875" style="38" customWidth="1"/>
    <col min="10244" max="10247" width="1" style="38" customWidth="1"/>
    <col min="10248" max="10248" width="17.88671875" style="38" customWidth="1"/>
    <col min="10249" max="10252" width="1" style="38" customWidth="1"/>
    <col min="10253" max="10253" width="17.88671875" style="38" customWidth="1"/>
    <col min="10254" max="10257" width="1" style="38" customWidth="1"/>
    <col min="10258" max="10258" width="17.88671875" style="38" customWidth="1"/>
    <col min="10259" max="10262" width="1" style="38" customWidth="1"/>
    <col min="10263" max="10263" width="17.88671875" style="38" customWidth="1"/>
    <col min="10264" max="10267" width="1" style="38" customWidth="1"/>
    <col min="10268" max="10268" width="17.88671875" style="38" customWidth="1"/>
    <col min="10269" max="10272" width="1" style="38" customWidth="1"/>
    <col min="10273" max="10273" width="17.88671875" style="38" customWidth="1"/>
    <col min="10274" max="10277" width="1" style="38" customWidth="1"/>
    <col min="10278" max="10278" width="17.88671875" style="38" customWidth="1"/>
    <col min="10279" max="10282" width="1" style="38" customWidth="1"/>
    <col min="10283" max="10283" width="17.88671875" style="38" customWidth="1"/>
    <col min="10284" max="10285" width="1" style="38" customWidth="1"/>
    <col min="10286" max="10304" width="0" style="38" hidden="1" customWidth="1"/>
    <col min="10305" max="10305" width="1" style="38" customWidth="1"/>
    <col min="10306" max="10340" width="0" style="38" hidden="1" customWidth="1"/>
    <col min="10341" max="10342" width="1" style="38" customWidth="1"/>
    <col min="10343" max="10343" width="17.88671875" style="38" customWidth="1"/>
    <col min="10344" max="10347" width="1" style="38" customWidth="1"/>
    <col min="10348" max="10348" width="17.88671875" style="38" customWidth="1"/>
    <col min="10349" max="10350" width="1" style="38" customWidth="1"/>
    <col min="10351" max="10351" width="1.5546875" style="38" customWidth="1"/>
    <col min="10352" max="10352" width="0.6640625" style="38" customWidth="1"/>
    <col min="10353" max="10353" width="1.88671875" style="38" customWidth="1"/>
    <col min="10354" max="10354" width="10.6640625" style="38" customWidth="1"/>
    <col min="10355" max="10355" width="0" style="38" hidden="1" customWidth="1"/>
    <col min="10356" max="10461" width="10" style="38"/>
    <col min="10462" max="10462" width="1.5546875" style="38" customWidth="1"/>
    <col min="10463" max="10463" width="1.44140625" style="38" customWidth="1"/>
    <col min="10464" max="10464" width="57.5546875" style="38" customWidth="1"/>
    <col min="10465" max="10465" width="2.6640625" style="38" customWidth="1"/>
    <col min="10466" max="10466" width="0" style="38" hidden="1" customWidth="1"/>
    <col min="10467" max="10468" width="1" style="38" customWidth="1"/>
    <col min="10469" max="10469" width="19.6640625" style="38" customWidth="1"/>
    <col min="10470" max="10471" width="1" style="38" customWidth="1"/>
    <col min="10472" max="10472" width="2" style="38" customWidth="1"/>
    <col min="10473" max="10473" width="1" style="38" customWidth="1"/>
    <col min="10474" max="10474" width="17.88671875" style="38" customWidth="1"/>
    <col min="10475" max="10478" width="1" style="38" customWidth="1"/>
    <col min="10479" max="10479" width="17.88671875" style="38" customWidth="1"/>
    <col min="10480" max="10483" width="1" style="38" customWidth="1"/>
    <col min="10484" max="10484" width="17.88671875" style="38" customWidth="1"/>
    <col min="10485" max="10488" width="1" style="38" customWidth="1"/>
    <col min="10489" max="10489" width="17.88671875" style="38" customWidth="1"/>
    <col min="10490" max="10493" width="1" style="38" customWidth="1"/>
    <col min="10494" max="10494" width="17.88671875" style="38" customWidth="1"/>
    <col min="10495" max="10498" width="1" style="38" customWidth="1"/>
    <col min="10499" max="10499" width="17.88671875" style="38" customWidth="1"/>
    <col min="10500" max="10503" width="1" style="38" customWidth="1"/>
    <col min="10504" max="10504" width="17.88671875" style="38" customWidth="1"/>
    <col min="10505" max="10508" width="1" style="38" customWidth="1"/>
    <col min="10509" max="10509" width="17.88671875" style="38" customWidth="1"/>
    <col min="10510" max="10513" width="1" style="38" customWidth="1"/>
    <col min="10514" max="10514" width="17.88671875" style="38" customWidth="1"/>
    <col min="10515" max="10518" width="1" style="38" customWidth="1"/>
    <col min="10519" max="10519" width="17.88671875" style="38" customWidth="1"/>
    <col min="10520" max="10523" width="1" style="38" customWidth="1"/>
    <col min="10524" max="10524" width="17.88671875" style="38" customWidth="1"/>
    <col min="10525" max="10528" width="1" style="38" customWidth="1"/>
    <col min="10529" max="10529" width="17.88671875" style="38" customWidth="1"/>
    <col min="10530" max="10533" width="1" style="38" customWidth="1"/>
    <col min="10534" max="10534" width="17.88671875" style="38" customWidth="1"/>
    <col min="10535" max="10538" width="1" style="38" customWidth="1"/>
    <col min="10539" max="10539" width="17.88671875" style="38" customWidth="1"/>
    <col min="10540" max="10541" width="1" style="38" customWidth="1"/>
    <col min="10542" max="10560" width="0" style="38" hidden="1" customWidth="1"/>
    <col min="10561" max="10561" width="1" style="38" customWidth="1"/>
    <col min="10562" max="10596" width="0" style="38" hidden="1" customWidth="1"/>
    <col min="10597" max="10598" width="1" style="38" customWidth="1"/>
    <col min="10599" max="10599" width="17.88671875" style="38" customWidth="1"/>
    <col min="10600" max="10603" width="1" style="38" customWidth="1"/>
    <col min="10604" max="10604" width="17.88671875" style="38" customWidth="1"/>
    <col min="10605" max="10606" width="1" style="38" customWidth="1"/>
    <col min="10607" max="10607" width="1.5546875" style="38" customWidth="1"/>
    <col min="10608" max="10608" width="0.6640625" style="38" customWidth="1"/>
    <col min="10609" max="10609" width="1.88671875" style="38" customWidth="1"/>
    <col min="10610" max="10610" width="10.6640625" style="38" customWidth="1"/>
    <col min="10611" max="10611" width="0" style="38" hidden="1" customWidth="1"/>
    <col min="10612" max="10717" width="10" style="38"/>
    <col min="10718" max="10718" width="1.5546875" style="38" customWidth="1"/>
    <col min="10719" max="10719" width="1.44140625" style="38" customWidth="1"/>
    <col min="10720" max="10720" width="57.5546875" style="38" customWidth="1"/>
    <col min="10721" max="10721" width="2.6640625" style="38" customWidth="1"/>
    <col min="10722" max="10722" width="0" style="38" hidden="1" customWidth="1"/>
    <col min="10723" max="10724" width="1" style="38" customWidth="1"/>
    <col min="10725" max="10725" width="19.6640625" style="38" customWidth="1"/>
    <col min="10726" max="10727" width="1" style="38" customWidth="1"/>
    <col min="10728" max="10728" width="2" style="38" customWidth="1"/>
    <col min="10729" max="10729" width="1" style="38" customWidth="1"/>
    <col min="10730" max="10730" width="17.88671875" style="38" customWidth="1"/>
    <col min="10731" max="10734" width="1" style="38" customWidth="1"/>
    <col min="10735" max="10735" width="17.88671875" style="38" customWidth="1"/>
    <col min="10736" max="10739" width="1" style="38" customWidth="1"/>
    <col min="10740" max="10740" width="17.88671875" style="38" customWidth="1"/>
    <col min="10741" max="10744" width="1" style="38" customWidth="1"/>
    <col min="10745" max="10745" width="17.88671875" style="38" customWidth="1"/>
    <col min="10746" max="10749" width="1" style="38" customWidth="1"/>
    <col min="10750" max="10750" width="17.88671875" style="38" customWidth="1"/>
    <col min="10751" max="10754" width="1" style="38" customWidth="1"/>
    <col min="10755" max="10755" width="17.88671875" style="38" customWidth="1"/>
    <col min="10756" max="10759" width="1" style="38" customWidth="1"/>
    <col min="10760" max="10760" width="17.88671875" style="38" customWidth="1"/>
    <col min="10761" max="10764" width="1" style="38" customWidth="1"/>
    <col min="10765" max="10765" width="17.88671875" style="38" customWidth="1"/>
    <col min="10766" max="10769" width="1" style="38" customWidth="1"/>
    <col min="10770" max="10770" width="17.88671875" style="38" customWidth="1"/>
    <col min="10771" max="10774" width="1" style="38" customWidth="1"/>
    <col min="10775" max="10775" width="17.88671875" style="38" customWidth="1"/>
    <col min="10776" max="10779" width="1" style="38" customWidth="1"/>
    <col min="10780" max="10780" width="17.88671875" style="38" customWidth="1"/>
    <col min="10781" max="10784" width="1" style="38" customWidth="1"/>
    <col min="10785" max="10785" width="17.88671875" style="38" customWidth="1"/>
    <col min="10786" max="10789" width="1" style="38" customWidth="1"/>
    <col min="10790" max="10790" width="17.88671875" style="38" customWidth="1"/>
    <col min="10791" max="10794" width="1" style="38" customWidth="1"/>
    <col min="10795" max="10795" width="17.88671875" style="38" customWidth="1"/>
    <col min="10796" max="10797" width="1" style="38" customWidth="1"/>
    <col min="10798" max="10816" width="0" style="38" hidden="1" customWidth="1"/>
    <col min="10817" max="10817" width="1" style="38" customWidth="1"/>
    <col min="10818" max="10852" width="0" style="38" hidden="1" customWidth="1"/>
    <col min="10853" max="10854" width="1" style="38" customWidth="1"/>
    <col min="10855" max="10855" width="17.88671875" style="38" customWidth="1"/>
    <col min="10856" max="10859" width="1" style="38" customWidth="1"/>
    <col min="10860" max="10860" width="17.88671875" style="38" customWidth="1"/>
    <col min="10861" max="10862" width="1" style="38" customWidth="1"/>
    <col min="10863" max="10863" width="1.5546875" style="38" customWidth="1"/>
    <col min="10864" max="10864" width="0.6640625" style="38" customWidth="1"/>
    <col min="10865" max="10865" width="1.88671875" style="38" customWidth="1"/>
    <col min="10866" max="10866" width="10.6640625" style="38" customWidth="1"/>
    <col min="10867" max="10867" width="0" style="38" hidden="1" customWidth="1"/>
    <col min="10868" max="10973" width="10" style="38"/>
    <col min="10974" max="10974" width="1.5546875" style="38" customWidth="1"/>
    <col min="10975" max="10975" width="1.44140625" style="38" customWidth="1"/>
    <col min="10976" max="10976" width="57.5546875" style="38" customWidth="1"/>
    <col min="10977" max="10977" width="2.6640625" style="38" customWidth="1"/>
    <col min="10978" max="10978" width="0" style="38" hidden="1" customWidth="1"/>
    <col min="10979" max="10980" width="1" style="38" customWidth="1"/>
    <col min="10981" max="10981" width="19.6640625" style="38" customWidth="1"/>
    <col min="10982" max="10983" width="1" style="38" customWidth="1"/>
    <col min="10984" max="10984" width="2" style="38" customWidth="1"/>
    <col min="10985" max="10985" width="1" style="38" customWidth="1"/>
    <col min="10986" max="10986" width="17.88671875" style="38" customWidth="1"/>
    <col min="10987" max="10990" width="1" style="38" customWidth="1"/>
    <col min="10991" max="10991" width="17.88671875" style="38" customWidth="1"/>
    <col min="10992" max="10995" width="1" style="38" customWidth="1"/>
    <col min="10996" max="10996" width="17.88671875" style="38" customWidth="1"/>
    <col min="10997" max="11000" width="1" style="38" customWidth="1"/>
    <col min="11001" max="11001" width="17.88671875" style="38" customWidth="1"/>
    <col min="11002" max="11005" width="1" style="38" customWidth="1"/>
    <col min="11006" max="11006" width="17.88671875" style="38" customWidth="1"/>
    <col min="11007" max="11010" width="1" style="38" customWidth="1"/>
    <col min="11011" max="11011" width="17.88671875" style="38" customWidth="1"/>
    <col min="11012" max="11015" width="1" style="38" customWidth="1"/>
    <col min="11016" max="11016" width="17.88671875" style="38" customWidth="1"/>
    <col min="11017" max="11020" width="1" style="38" customWidth="1"/>
    <col min="11021" max="11021" width="17.88671875" style="38" customWidth="1"/>
    <col min="11022" max="11025" width="1" style="38" customWidth="1"/>
    <col min="11026" max="11026" width="17.88671875" style="38" customWidth="1"/>
    <col min="11027" max="11030" width="1" style="38" customWidth="1"/>
    <col min="11031" max="11031" width="17.88671875" style="38" customWidth="1"/>
    <col min="11032" max="11035" width="1" style="38" customWidth="1"/>
    <col min="11036" max="11036" width="17.88671875" style="38" customWidth="1"/>
    <col min="11037" max="11040" width="1" style="38" customWidth="1"/>
    <col min="11041" max="11041" width="17.88671875" style="38" customWidth="1"/>
    <col min="11042" max="11045" width="1" style="38" customWidth="1"/>
    <col min="11046" max="11046" width="17.88671875" style="38" customWidth="1"/>
    <col min="11047" max="11050" width="1" style="38" customWidth="1"/>
    <col min="11051" max="11051" width="17.88671875" style="38" customWidth="1"/>
    <col min="11052" max="11053" width="1" style="38" customWidth="1"/>
    <col min="11054" max="11072" width="0" style="38" hidden="1" customWidth="1"/>
    <col min="11073" max="11073" width="1" style="38" customWidth="1"/>
    <col min="11074" max="11108" width="0" style="38" hidden="1" customWidth="1"/>
    <col min="11109" max="11110" width="1" style="38" customWidth="1"/>
    <col min="11111" max="11111" width="17.88671875" style="38" customWidth="1"/>
    <col min="11112" max="11115" width="1" style="38" customWidth="1"/>
    <col min="11116" max="11116" width="17.88671875" style="38" customWidth="1"/>
    <col min="11117" max="11118" width="1" style="38" customWidth="1"/>
    <col min="11119" max="11119" width="1.5546875" style="38" customWidth="1"/>
    <col min="11120" max="11120" width="0.6640625" style="38" customWidth="1"/>
    <col min="11121" max="11121" width="1.88671875" style="38" customWidth="1"/>
    <col min="11122" max="11122" width="10.6640625" style="38" customWidth="1"/>
    <col min="11123" max="11123" width="0" style="38" hidden="1" customWidth="1"/>
    <col min="11124" max="11229" width="10" style="38"/>
    <col min="11230" max="11230" width="1.5546875" style="38" customWidth="1"/>
    <col min="11231" max="11231" width="1.44140625" style="38" customWidth="1"/>
    <col min="11232" max="11232" width="57.5546875" style="38" customWidth="1"/>
    <col min="11233" max="11233" width="2.6640625" style="38" customWidth="1"/>
    <col min="11234" max="11234" width="0" style="38" hidden="1" customWidth="1"/>
    <col min="11235" max="11236" width="1" style="38" customWidth="1"/>
    <col min="11237" max="11237" width="19.6640625" style="38" customWidth="1"/>
    <col min="11238" max="11239" width="1" style="38" customWidth="1"/>
    <col min="11240" max="11240" width="2" style="38" customWidth="1"/>
    <col min="11241" max="11241" width="1" style="38" customWidth="1"/>
    <col min="11242" max="11242" width="17.88671875" style="38" customWidth="1"/>
    <col min="11243" max="11246" width="1" style="38" customWidth="1"/>
    <col min="11247" max="11247" width="17.88671875" style="38" customWidth="1"/>
    <col min="11248" max="11251" width="1" style="38" customWidth="1"/>
    <col min="11252" max="11252" width="17.88671875" style="38" customWidth="1"/>
    <col min="11253" max="11256" width="1" style="38" customWidth="1"/>
    <col min="11257" max="11257" width="17.88671875" style="38" customWidth="1"/>
    <col min="11258" max="11261" width="1" style="38" customWidth="1"/>
    <col min="11262" max="11262" width="17.88671875" style="38" customWidth="1"/>
    <col min="11263" max="11266" width="1" style="38" customWidth="1"/>
    <col min="11267" max="11267" width="17.88671875" style="38" customWidth="1"/>
    <col min="11268" max="11271" width="1" style="38" customWidth="1"/>
    <col min="11272" max="11272" width="17.88671875" style="38" customWidth="1"/>
    <col min="11273" max="11276" width="1" style="38" customWidth="1"/>
    <col min="11277" max="11277" width="17.88671875" style="38" customWidth="1"/>
    <col min="11278" max="11281" width="1" style="38" customWidth="1"/>
    <col min="11282" max="11282" width="17.88671875" style="38" customWidth="1"/>
    <col min="11283" max="11286" width="1" style="38" customWidth="1"/>
    <col min="11287" max="11287" width="17.88671875" style="38" customWidth="1"/>
    <col min="11288" max="11291" width="1" style="38" customWidth="1"/>
    <col min="11292" max="11292" width="17.88671875" style="38" customWidth="1"/>
    <col min="11293" max="11296" width="1" style="38" customWidth="1"/>
    <col min="11297" max="11297" width="17.88671875" style="38" customWidth="1"/>
    <col min="11298" max="11301" width="1" style="38" customWidth="1"/>
    <col min="11302" max="11302" width="17.88671875" style="38" customWidth="1"/>
    <col min="11303" max="11306" width="1" style="38" customWidth="1"/>
    <col min="11307" max="11307" width="17.88671875" style="38" customWidth="1"/>
    <col min="11308" max="11309" width="1" style="38" customWidth="1"/>
    <col min="11310" max="11328" width="0" style="38" hidden="1" customWidth="1"/>
    <col min="11329" max="11329" width="1" style="38" customWidth="1"/>
    <col min="11330" max="11364" width="0" style="38" hidden="1" customWidth="1"/>
    <col min="11365" max="11366" width="1" style="38" customWidth="1"/>
    <col min="11367" max="11367" width="17.88671875" style="38" customWidth="1"/>
    <col min="11368" max="11371" width="1" style="38" customWidth="1"/>
    <col min="11372" max="11372" width="17.88671875" style="38" customWidth="1"/>
    <col min="11373" max="11374" width="1" style="38" customWidth="1"/>
    <col min="11375" max="11375" width="1.5546875" style="38" customWidth="1"/>
    <col min="11376" max="11376" width="0.6640625" style="38" customWidth="1"/>
    <col min="11377" max="11377" width="1.88671875" style="38" customWidth="1"/>
    <col min="11378" max="11378" width="10.6640625" style="38" customWidth="1"/>
    <col min="11379" max="11379" width="0" style="38" hidden="1" customWidth="1"/>
    <col min="11380" max="11485" width="10" style="38"/>
    <col min="11486" max="11486" width="1.5546875" style="38" customWidth="1"/>
    <col min="11487" max="11487" width="1.44140625" style="38" customWidth="1"/>
    <col min="11488" max="11488" width="57.5546875" style="38" customWidth="1"/>
    <col min="11489" max="11489" width="2.6640625" style="38" customWidth="1"/>
    <col min="11490" max="11490" width="0" style="38" hidden="1" customWidth="1"/>
    <col min="11491" max="11492" width="1" style="38" customWidth="1"/>
    <col min="11493" max="11493" width="19.6640625" style="38" customWidth="1"/>
    <col min="11494" max="11495" width="1" style="38" customWidth="1"/>
    <col min="11496" max="11496" width="2" style="38" customWidth="1"/>
    <col min="11497" max="11497" width="1" style="38" customWidth="1"/>
    <col min="11498" max="11498" width="17.88671875" style="38" customWidth="1"/>
    <col min="11499" max="11502" width="1" style="38" customWidth="1"/>
    <col min="11503" max="11503" width="17.88671875" style="38" customWidth="1"/>
    <col min="11504" max="11507" width="1" style="38" customWidth="1"/>
    <col min="11508" max="11508" width="17.88671875" style="38" customWidth="1"/>
    <col min="11509" max="11512" width="1" style="38" customWidth="1"/>
    <col min="11513" max="11513" width="17.88671875" style="38" customWidth="1"/>
    <col min="11514" max="11517" width="1" style="38" customWidth="1"/>
    <col min="11518" max="11518" width="17.88671875" style="38" customWidth="1"/>
    <col min="11519" max="11522" width="1" style="38" customWidth="1"/>
    <col min="11523" max="11523" width="17.88671875" style="38" customWidth="1"/>
    <col min="11524" max="11527" width="1" style="38" customWidth="1"/>
    <col min="11528" max="11528" width="17.88671875" style="38" customWidth="1"/>
    <col min="11529" max="11532" width="1" style="38" customWidth="1"/>
    <col min="11533" max="11533" width="17.88671875" style="38" customWidth="1"/>
    <col min="11534" max="11537" width="1" style="38" customWidth="1"/>
    <col min="11538" max="11538" width="17.88671875" style="38" customWidth="1"/>
    <col min="11539" max="11542" width="1" style="38" customWidth="1"/>
    <col min="11543" max="11543" width="17.88671875" style="38" customWidth="1"/>
    <col min="11544" max="11547" width="1" style="38" customWidth="1"/>
    <col min="11548" max="11548" width="17.88671875" style="38" customWidth="1"/>
    <col min="11549" max="11552" width="1" style="38" customWidth="1"/>
    <col min="11553" max="11553" width="17.88671875" style="38" customWidth="1"/>
    <col min="11554" max="11557" width="1" style="38" customWidth="1"/>
    <col min="11558" max="11558" width="17.88671875" style="38" customWidth="1"/>
    <col min="11559" max="11562" width="1" style="38" customWidth="1"/>
    <col min="11563" max="11563" width="17.88671875" style="38" customWidth="1"/>
    <col min="11564" max="11565" width="1" style="38" customWidth="1"/>
    <col min="11566" max="11584" width="0" style="38" hidden="1" customWidth="1"/>
    <col min="11585" max="11585" width="1" style="38" customWidth="1"/>
    <col min="11586" max="11620" width="0" style="38" hidden="1" customWidth="1"/>
    <col min="11621" max="11622" width="1" style="38" customWidth="1"/>
    <col min="11623" max="11623" width="17.88671875" style="38" customWidth="1"/>
    <col min="11624" max="11627" width="1" style="38" customWidth="1"/>
    <col min="11628" max="11628" width="17.88671875" style="38" customWidth="1"/>
    <col min="11629" max="11630" width="1" style="38" customWidth="1"/>
    <col min="11631" max="11631" width="1.5546875" style="38" customWidth="1"/>
    <col min="11632" max="11632" width="0.6640625" style="38" customWidth="1"/>
    <col min="11633" max="11633" width="1.88671875" style="38" customWidth="1"/>
    <col min="11634" max="11634" width="10.6640625" style="38" customWidth="1"/>
    <col min="11635" max="11635" width="0" style="38" hidden="1" customWidth="1"/>
    <col min="11636" max="11741" width="10" style="38"/>
    <col min="11742" max="11742" width="1.5546875" style="38" customWidth="1"/>
    <col min="11743" max="11743" width="1.44140625" style="38" customWidth="1"/>
    <col min="11744" max="11744" width="57.5546875" style="38" customWidth="1"/>
    <col min="11745" max="11745" width="2.6640625" style="38" customWidth="1"/>
    <col min="11746" max="11746" width="0" style="38" hidden="1" customWidth="1"/>
    <col min="11747" max="11748" width="1" style="38" customWidth="1"/>
    <col min="11749" max="11749" width="19.6640625" style="38" customWidth="1"/>
    <col min="11750" max="11751" width="1" style="38" customWidth="1"/>
    <col min="11752" max="11752" width="2" style="38" customWidth="1"/>
    <col min="11753" max="11753" width="1" style="38" customWidth="1"/>
    <col min="11754" max="11754" width="17.88671875" style="38" customWidth="1"/>
    <col min="11755" max="11758" width="1" style="38" customWidth="1"/>
    <col min="11759" max="11759" width="17.88671875" style="38" customWidth="1"/>
    <col min="11760" max="11763" width="1" style="38" customWidth="1"/>
    <col min="11764" max="11764" width="17.88671875" style="38" customWidth="1"/>
    <col min="11765" max="11768" width="1" style="38" customWidth="1"/>
    <col min="11769" max="11769" width="17.88671875" style="38" customWidth="1"/>
    <col min="11770" max="11773" width="1" style="38" customWidth="1"/>
    <col min="11774" max="11774" width="17.88671875" style="38" customWidth="1"/>
    <col min="11775" max="11778" width="1" style="38" customWidth="1"/>
    <col min="11779" max="11779" width="17.88671875" style="38" customWidth="1"/>
    <col min="11780" max="11783" width="1" style="38" customWidth="1"/>
    <col min="11784" max="11784" width="17.88671875" style="38" customWidth="1"/>
    <col min="11785" max="11788" width="1" style="38" customWidth="1"/>
    <col min="11789" max="11789" width="17.88671875" style="38" customWidth="1"/>
    <col min="11790" max="11793" width="1" style="38" customWidth="1"/>
    <col min="11794" max="11794" width="17.88671875" style="38" customWidth="1"/>
    <col min="11795" max="11798" width="1" style="38" customWidth="1"/>
    <col min="11799" max="11799" width="17.88671875" style="38" customWidth="1"/>
    <col min="11800" max="11803" width="1" style="38" customWidth="1"/>
    <col min="11804" max="11804" width="17.88671875" style="38" customWidth="1"/>
    <col min="11805" max="11808" width="1" style="38" customWidth="1"/>
    <col min="11809" max="11809" width="17.88671875" style="38" customWidth="1"/>
    <col min="11810" max="11813" width="1" style="38" customWidth="1"/>
    <col min="11814" max="11814" width="17.88671875" style="38" customWidth="1"/>
    <col min="11815" max="11818" width="1" style="38" customWidth="1"/>
    <col min="11819" max="11819" width="17.88671875" style="38" customWidth="1"/>
    <col min="11820" max="11821" width="1" style="38" customWidth="1"/>
    <col min="11822" max="11840" width="0" style="38" hidden="1" customWidth="1"/>
    <col min="11841" max="11841" width="1" style="38" customWidth="1"/>
    <col min="11842" max="11876" width="0" style="38" hidden="1" customWidth="1"/>
    <col min="11877" max="11878" width="1" style="38" customWidth="1"/>
    <col min="11879" max="11879" width="17.88671875" style="38" customWidth="1"/>
    <col min="11880" max="11883" width="1" style="38" customWidth="1"/>
    <col min="11884" max="11884" width="17.88671875" style="38" customWidth="1"/>
    <col min="11885" max="11886" width="1" style="38" customWidth="1"/>
    <col min="11887" max="11887" width="1.5546875" style="38" customWidth="1"/>
    <col min="11888" max="11888" width="0.6640625" style="38" customWidth="1"/>
    <col min="11889" max="11889" width="1.88671875" style="38" customWidth="1"/>
    <col min="11890" max="11890" width="10.6640625" style="38" customWidth="1"/>
    <col min="11891" max="11891" width="0" style="38" hidden="1" customWidth="1"/>
    <col min="11892" max="11997" width="10" style="38"/>
    <col min="11998" max="11998" width="1.5546875" style="38" customWidth="1"/>
    <col min="11999" max="11999" width="1.44140625" style="38" customWidth="1"/>
    <col min="12000" max="12000" width="57.5546875" style="38" customWidth="1"/>
    <col min="12001" max="12001" width="2.6640625" style="38" customWidth="1"/>
    <col min="12002" max="12002" width="0" style="38" hidden="1" customWidth="1"/>
    <col min="12003" max="12004" width="1" style="38" customWidth="1"/>
    <col min="12005" max="12005" width="19.6640625" style="38" customWidth="1"/>
    <col min="12006" max="12007" width="1" style="38" customWidth="1"/>
    <col min="12008" max="12008" width="2" style="38" customWidth="1"/>
    <col min="12009" max="12009" width="1" style="38" customWidth="1"/>
    <col min="12010" max="12010" width="17.88671875" style="38" customWidth="1"/>
    <col min="12011" max="12014" width="1" style="38" customWidth="1"/>
    <col min="12015" max="12015" width="17.88671875" style="38" customWidth="1"/>
    <col min="12016" max="12019" width="1" style="38" customWidth="1"/>
    <col min="12020" max="12020" width="17.88671875" style="38" customWidth="1"/>
    <col min="12021" max="12024" width="1" style="38" customWidth="1"/>
    <col min="12025" max="12025" width="17.88671875" style="38" customWidth="1"/>
    <col min="12026" max="12029" width="1" style="38" customWidth="1"/>
    <col min="12030" max="12030" width="17.88671875" style="38" customWidth="1"/>
    <col min="12031" max="12034" width="1" style="38" customWidth="1"/>
    <col min="12035" max="12035" width="17.88671875" style="38" customWidth="1"/>
    <col min="12036" max="12039" width="1" style="38" customWidth="1"/>
    <col min="12040" max="12040" width="17.88671875" style="38" customWidth="1"/>
    <col min="12041" max="12044" width="1" style="38" customWidth="1"/>
    <col min="12045" max="12045" width="17.88671875" style="38" customWidth="1"/>
    <col min="12046" max="12049" width="1" style="38" customWidth="1"/>
    <col min="12050" max="12050" width="17.88671875" style="38" customWidth="1"/>
    <col min="12051" max="12054" width="1" style="38" customWidth="1"/>
    <col min="12055" max="12055" width="17.88671875" style="38" customWidth="1"/>
    <col min="12056" max="12059" width="1" style="38" customWidth="1"/>
    <col min="12060" max="12060" width="17.88671875" style="38" customWidth="1"/>
    <col min="12061" max="12064" width="1" style="38" customWidth="1"/>
    <col min="12065" max="12065" width="17.88671875" style="38" customWidth="1"/>
    <col min="12066" max="12069" width="1" style="38" customWidth="1"/>
    <col min="12070" max="12070" width="17.88671875" style="38" customWidth="1"/>
    <col min="12071" max="12074" width="1" style="38" customWidth="1"/>
    <col min="12075" max="12075" width="17.88671875" style="38" customWidth="1"/>
    <col min="12076" max="12077" width="1" style="38" customWidth="1"/>
    <col min="12078" max="12096" width="0" style="38" hidden="1" customWidth="1"/>
    <col min="12097" max="12097" width="1" style="38" customWidth="1"/>
    <col min="12098" max="12132" width="0" style="38" hidden="1" customWidth="1"/>
    <col min="12133" max="12134" width="1" style="38" customWidth="1"/>
    <col min="12135" max="12135" width="17.88671875" style="38" customWidth="1"/>
    <col min="12136" max="12139" width="1" style="38" customWidth="1"/>
    <col min="12140" max="12140" width="17.88671875" style="38" customWidth="1"/>
    <col min="12141" max="12142" width="1" style="38" customWidth="1"/>
    <col min="12143" max="12143" width="1.5546875" style="38" customWidth="1"/>
    <col min="12144" max="12144" width="0.6640625" style="38" customWidth="1"/>
    <col min="12145" max="12145" width="1.88671875" style="38" customWidth="1"/>
    <col min="12146" max="12146" width="10.6640625" style="38" customWidth="1"/>
    <col min="12147" max="12147" width="0" style="38" hidden="1" customWidth="1"/>
    <col min="12148" max="12253" width="10" style="38"/>
    <col min="12254" max="12254" width="1.5546875" style="38" customWidth="1"/>
    <col min="12255" max="12255" width="1.44140625" style="38" customWidth="1"/>
    <col min="12256" max="12256" width="57.5546875" style="38" customWidth="1"/>
    <col min="12257" max="12257" width="2.6640625" style="38" customWidth="1"/>
    <col min="12258" max="12258" width="0" style="38" hidden="1" customWidth="1"/>
    <col min="12259" max="12260" width="1" style="38" customWidth="1"/>
    <col min="12261" max="12261" width="19.6640625" style="38" customWidth="1"/>
    <col min="12262" max="12263" width="1" style="38" customWidth="1"/>
    <col min="12264" max="12264" width="2" style="38" customWidth="1"/>
    <col min="12265" max="12265" width="1" style="38" customWidth="1"/>
    <col min="12266" max="12266" width="17.88671875" style="38" customWidth="1"/>
    <col min="12267" max="12270" width="1" style="38" customWidth="1"/>
    <col min="12271" max="12271" width="17.88671875" style="38" customWidth="1"/>
    <col min="12272" max="12275" width="1" style="38" customWidth="1"/>
    <col min="12276" max="12276" width="17.88671875" style="38" customWidth="1"/>
    <col min="12277" max="12280" width="1" style="38" customWidth="1"/>
    <col min="12281" max="12281" width="17.88671875" style="38" customWidth="1"/>
    <col min="12282" max="12285" width="1" style="38" customWidth="1"/>
    <col min="12286" max="12286" width="17.88671875" style="38" customWidth="1"/>
    <col min="12287" max="12290" width="1" style="38" customWidth="1"/>
    <col min="12291" max="12291" width="17.88671875" style="38" customWidth="1"/>
    <col min="12292" max="12295" width="1" style="38" customWidth="1"/>
    <col min="12296" max="12296" width="17.88671875" style="38" customWidth="1"/>
    <col min="12297" max="12300" width="1" style="38" customWidth="1"/>
    <col min="12301" max="12301" width="17.88671875" style="38" customWidth="1"/>
    <col min="12302" max="12305" width="1" style="38" customWidth="1"/>
    <col min="12306" max="12306" width="17.88671875" style="38" customWidth="1"/>
    <col min="12307" max="12310" width="1" style="38" customWidth="1"/>
    <col min="12311" max="12311" width="17.88671875" style="38" customWidth="1"/>
    <col min="12312" max="12315" width="1" style="38" customWidth="1"/>
    <col min="12316" max="12316" width="17.88671875" style="38" customWidth="1"/>
    <col min="12317" max="12320" width="1" style="38" customWidth="1"/>
    <col min="12321" max="12321" width="17.88671875" style="38" customWidth="1"/>
    <col min="12322" max="12325" width="1" style="38" customWidth="1"/>
    <col min="12326" max="12326" width="17.88671875" style="38" customWidth="1"/>
    <col min="12327" max="12330" width="1" style="38" customWidth="1"/>
    <col min="12331" max="12331" width="17.88671875" style="38" customWidth="1"/>
    <col min="12332" max="12333" width="1" style="38" customWidth="1"/>
    <col min="12334" max="12352" width="0" style="38" hidden="1" customWidth="1"/>
    <col min="12353" max="12353" width="1" style="38" customWidth="1"/>
    <col min="12354" max="12388" width="0" style="38" hidden="1" customWidth="1"/>
    <col min="12389" max="12390" width="1" style="38" customWidth="1"/>
    <col min="12391" max="12391" width="17.88671875" style="38" customWidth="1"/>
    <col min="12392" max="12395" width="1" style="38" customWidth="1"/>
    <col min="12396" max="12396" width="17.88671875" style="38" customWidth="1"/>
    <col min="12397" max="12398" width="1" style="38" customWidth="1"/>
    <col min="12399" max="12399" width="1.5546875" style="38" customWidth="1"/>
    <col min="12400" max="12400" width="0.6640625" style="38" customWidth="1"/>
    <col min="12401" max="12401" width="1.88671875" style="38" customWidth="1"/>
    <col min="12402" max="12402" width="10.6640625" style="38" customWidth="1"/>
    <col min="12403" max="12403" width="0" style="38" hidden="1" customWidth="1"/>
    <col min="12404" max="12509" width="10" style="38"/>
    <col min="12510" max="12510" width="1.5546875" style="38" customWidth="1"/>
    <col min="12511" max="12511" width="1.44140625" style="38" customWidth="1"/>
    <col min="12512" max="12512" width="57.5546875" style="38" customWidth="1"/>
    <col min="12513" max="12513" width="2.6640625" style="38" customWidth="1"/>
    <col min="12514" max="12514" width="0" style="38" hidden="1" customWidth="1"/>
    <col min="12515" max="12516" width="1" style="38" customWidth="1"/>
    <col min="12517" max="12517" width="19.6640625" style="38" customWidth="1"/>
    <col min="12518" max="12519" width="1" style="38" customWidth="1"/>
    <col min="12520" max="12520" width="2" style="38" customWidth="1"/>
    <col min="12521" max="12521" width="1" style="38" customWidth="1"/>
    <col min="12522" max="12522" width="17.88671875" style="38" customWidth="1"/>
    <col min="12523" max="12526" width="1" style="38" customWidth="1"/>
    <col min="12527" max="12527" width="17.88671875" style="38" customWidth="1"/>
    <col min="12528" max="12531" width="1" style="38" customWidth="1"/>
    <col min="12532" max="12532" width="17.88671875" style="38" customWidth="1"/>
    <col min="12533" max="12536" width="1" style="38" customWidth="1"/>
    <col min="12537" max="12537" width="17.88671875" style="38" customWidth="1"/>
    <col min="12538" max="12541" width="1" style="38" customWidth="1"/>
    <col min="12542" max="12542" width="17.88671875" style="38" customWidth="1"/>
    <col min="12543" max="12546" width="1" style="38" customWidth="1"/>
    <col min="12547" max="12547" width="17.88671875" style="38" customWidth="1"/>
    <col min="12548" max="12551" width="1" style="38" customWidth="1"/>
    <col min="12552" max="12552" width="17.88671875" style="38" customWidth="1"/>
    <col min="12553" max="12556" width="1" style="38" customWidth="1"/>
    <col min="12557" max="12557" width="17.88671875" style="38" customWidth="1"/>
    <col min="12558" max="12561" width="1" style="38" customWidth="1"/>
    <col min="12562" max="12562" width="17.88671875" style="38" customWidth="1"/>
    <col min="12563" max="12566" width="1" style="38" customWidth="1"/>
    <col min="12567" max="12567" width="17.88671875" style="38" customWidth="1"/>
    <col min="12568" max="12571" width="1" style="38" customWidth="1"/>
    <col min="12572" max="12572" width="17.88671875" style="38" customWidth="1"/>
    <col min="12573" max="12576" width="1" style="38" customWidth="1"/>
    <col min="12577" max="12577" width="17.88671875" style="38" customWidth="1"/>
    <col min="12578" max="12581" width="1" style="38" customWidth="1"/>
    <col min="12582" max="12582" width="17.88671875" style="38" customWidth="1"/>
    <col min="12583" max="12586" width="1" style="38" customWidth="1"/>
    <col min="12587" max="12587" width="17.88671875" style="38" customWidth="1"/>
    <col min="12588" max="12589" width="1" style="38" customWidth="1"/>
    <col min="12590" max="12608" width="0" style="38" hidden="1" customWidth="1"/>
    <col min="12609" max="12609" width="1" style="38" customWidth="1"/>
    <col min="12610" max="12644" width="0" style="38" hidden="1" customWidth="1"/>
    <col min="12645" max="12646" width="1" style="38" customWidth="1"/>
    <col min="12647" max="12647" width="17.88671875" style="38" customWidth="1"/>
    <col min="12648" max="12651" width="1" style="38" customWidth="1"/>
    <col min="12652" max="12652" width="17.88671875" style="38" customWidth="1"/>
    <col min="12653" max="12654" width="1" style="38" customWidth="1"/>
    <col min="12655" max="12655" width="1.5546875" style="38" customWidth="1"/>
    <col min="12656" max="12656" width="0.6640625" style="38" customWidth="1"/>
    <col min="12657" max="12657" width="1.88671875" style="38" customWidth="1"/>
    <col min="12658" max="12658" width="10.6640625" style="38" customWidth="1"/>
    <col min="12659" max="12659" width="0" style="38" hidden="1" customWidth="1"/>
    <col min="12660" max="12765" width="10" style="38"/>
    <col min="12766" max="12766" width="1.5546875" style="38" customWidth="1"/>
    <col min="12767" max="12767" width="1.44140625" style="38" customWidth="1"/>
    <col min="12768" max="12768" width="57.5546875" style="38" customWidth="1"/>
    <col min="12769" max="12769" width="2.6640625" style="38" customWidth="1"/>
    <col min="12770" max="12770" width="0" style="38" hidden="1" customWidth="1"/>
    <col min="12771" max="12772" width="1" style="38" customWidth="1"/>
    <col min="12773" max="12773" width="19.6640625" style="38" customWidth="1"/>
    <col min="12774" max="12775" width="1" style="38" customWidth="1"/>
    <col min="12776" max="12776" width="2" style="38" customWidth="1"/>
    <col min="12777" max="12777" width="1" style="38" customWidth="1"/>
    <col min="12778" max="12778" width="17.88671875" style="38" customWidth="1"/>
    <col min="12779" max="12782" width="1" style="38" customWidth="1"/>
    <col min="12783" max="12783" width="17.88671875" style="38" customWidth="1"/>
    <col min="12784" max="12787" width="1" style="38" customWidth="1"/>
    <col min="12788" max="12788" width="17.88671875" style="38" customWidth="1"/>
    <col min="12789" max="12792" width="1" style="38" customWidth="1"/>
    <col min="12793" max="12793" width="17.88671875" style="38" customWidth="1"/>
    <col min="12794" max="12797" width="1" style="38" customWidth="1"/>
    <col min="12798" max="12798" width="17.88671875" style="38" customWidth="1"/>
    <col min="12799" max="12802" width="1" style="38" customWidth="1"/>
    <col min="12803" max="12803" width="17.88671875" style="38" customWidth="1"/>
    <col min="12804" max="12807" width="1" style="38" customWidth="1"/>
    <col min="12808" max="12808" width="17.88671875" style="38" customWidth="1"/>
    <col min="12809" max="12812" width="1" style="38" customWidth="1"/>
    <col min="12813" max="12813" width="17.88671875" style="38" customWidth="1"/>
    <col min="12814" max="12817" width="1" style="38" customWidth="1"/>
    <col min="12818" max="12818" width="17.88671875" style="38" customWidth="1"/>
    <col min="12819" max="12822" width="1" style="38" customWidth="1"/>
    <col min="12823" max="12823" width="17.88671875" style="38" customWidth="1"/>
    <col min="12824" max="12827" width="1" style="38" customWidth="1"/>
    <col min="12828" max="12828" width="17.88671875" style="38" customWidth="1"/>
    <col min="12829" max="12832" width="1" style="38" customWidth="1"/>
    <col min="12833" max="12833" width="17.88671875" style="38" customWidth="1"/>
    <col min="12834" max="12837" width="1" style="38" customWidth="1"/>
    <col min="12838" max="12838" width="17.88671875" style="38" customWidth="1"/>
    <col min="12839" max="12842" width="1" style="38" customWidth="1"/>
    <col min="12843" max="12843" width="17.88671875" style="38" customWidth="1"/>
    <col min="12844" max="12845" width="1" style="38" customWidth="1"/>
    <col min="12846" max="12864" width="0" style="38" hidden="1" customWidth="1"/>
    <col min="12865" max="12865" width="1" style="38" customWidth="1"/>
    <col min="12866" max="12900" width="0" style="38" hidden="1" customWidth="1"/>
    <col min="12901" max="12902" width="1" style="38" customWidth="1"/>
    <col min="12903" max="12903" width="17.88671875" style="38" customWidth="1"/>
    <col min="12904" max="12907" width="1" style="38" customWidth="1"/>
    <col min="12908" max="12908" width="17.88671875" style="38" customWidth="1"/>
    <col min="12909" max="12910" width="1" style="38" customWidth="1"/>
    <col min="12911" max="12911" width="1.5546875" style="38" customWidth="1"/>
    <col min="12912" max="12912" width="0.6640625" style="38" customWidth="1"/>
    <col min="12913" max="12913" width="1.88671875" style="38" customWidth="1"/>
    <col min="12914" max="12914" width="10.6640625" style="38" customWidth="1"/>
    <col min="12915" max="12915" width="0" style="38" hidden="1" customWidth="1"/>
    <col min="12916" max="13021" width="10" style="38"/>
    <col min="13022" max="13022" width="1.5546875" style="38" customWidth="1"/>
    <col min="13023" max="13023" width="1.44140625" style="38" customWidth="1"/>
    <col min="13024" max="13024" width="57.5546875" style="38" customWidth="1"/>
    <col min="13025" max="13025" width="2.6640625" style="38" customWidth="1"/>
    <col min="13026" max="13026" width="0" style="38" hidden="1" customWidth="1"/>
    <col min="13027" max="13028" width="1" style="38" customWidth="1"/>
    <col min="13029" max="13029" width="19.6640625" style="38" customWidth="1"/>
    <col min="13030" max="13031" width="1" style="38" customWidth="1"/>
    <col min="13032" max="13032" width="2" style="38" customWidth="1"/>
    <col min="13033" max="13033" width="1" style="38" customWidth="1"/>
    <col min="13034" max="13034" width="17.88671875" style="38" customWidth="1"/>
    <col min="13035" max="13038" width="1" style="38" customWidth="1"/>
    <col min="13039" max="13039" width="17.88671875" style="38" customWidth="1"/>
    <col min="13040" max="13043" width="1" style="38" customWidth="1"/>
    <col min="13044" max="13044" width="17.88671875" style="38" customWidth="1"/>
    <col min="13045" max="13048" width="1" style="38" customWidth="1"/>
    <col min="13049" max="13049" width="17.88671875" style="38" customWidth="1"/>
    <col min="13050" max="13053" width="1" style="38" customWidth="1"/>
    <col min="13054" max="13054" width="17.88671875" style="38" customWidth="1"/>
    <col min="13055" max="13058" width="1" style="38" customWidth="1"/>
    <col min="13059" max="13059" width="17.88671875" style="38" customWidth="1"/>
    <col min="13060" max="13063" width="1" style="38" customWidth="1"/>
    <col min="13064" max="13064" width="17.88671875" style="38" customWidth="1"/>
    <col min="13065" max="13068" width="1" style="38" customWidth="1"/>
    <col min="13069" max="13069" width="17.88671875" style="38" customWidth="1"/>
    <col min="13070" max="13073" width="1" style="38" customWidth="1"/>
    <col min="13074" max="13074" width="17.88671875" style="38" customWidth="1"/>
    <col min="13075" max="13078" width="1" style="38" customWidth="1"/>
    <col min="13079" max="13079" width="17.88671875" style="38" customWidth="1"/>
    <col min="13080" max="13083" width="1" style="38" customWidth="1"/>
    <col min="13084" max="13084" width="17.88671875" style="38" customWidth="1"/>
    <col min="13085" max="13088" width="1" style="38" customWidth="1"/>
    <col min="13089" max="13089" width="17.88671875" style="38" customWidth="1"/>
    <col min="13090" max="13093" width="1" style="38" customWidth="1"/>
    <col min="13094" max="13094" width="17.88671875" style="38" customWidth="1"/>
    <col min="13095" max="13098" width="1" style="38" customWidth="1"/>
    <col min="13099" max="13099" width="17.88671875" style="38" customWidth="1"/>
    <col min="13100" max="13101" width="1" style="38" customWidth="1"/>
    <col min="13102" max="13120" width="0" style="38" hidden="1" customWidth="1"/>
    <col min="13121" max="13121" width="1" style="38" customWidth="1"/>
    <col min="13122" max="13156" width="0" style="38" hidden="1" customWidth="1"/>
    <col min="13157" max="13158" width="1" style="38" customWidth="1"/>
    <col min="13159" max="13159" width="17.88671875" style="38" customWidth="1"/>
    <col min="13160" max="13163" width="1" style="38" customWidth="1"/>
    <col min="13164" max="13164" width="17.88671875" style="38" customWidth="1"/>
    <col min="13165" max="13166" width="1" style="38" customWidth="1"/>
    <col min="13167" max="13167" width="1.5546875" style="38" customWidth="1"/>
    <col min="13168" max="13168" width="0.6640625" style="38" customWidth="1"/>
    <col min="13169" max="13169" width="1.88671875" style="38" customWidth="1"/>
    <col min="13170" max="13170" width="10.6640625" style="38" customWidth="1"/>
    <col min="13171" max="13171" width="0" style="38" hidden="1" customWidth="1"/>
    <col min="13172" max="13277" width="10" style="38"/>
    <col min="13278" max="13278" width="1.5546875" style="38" customWidth="1"/>
    <col min="13279" max="13279" width="1.44140625" style="38" customWidth="1"/>
    <col min="13280" max="13280" width="57.5546875" style="38" customWidth="1"/>
    <col min="13281" max="13281" width="2.6640625" style="38" customWidth="1"/>
    <col min="13282" max="13282" width="0" style="38" hidden="1" customWidth="1"/>
    <col min="13283" max="13284" width="1" style="38" customWidth="1"/>
    <col min="13285" max="13285" width="19.6640625" style="38" customWidth="1"/>
    <col min="13286" max="13287" width="1" style="38" customWidth="1"/>
    <col min="13288" max="13288" width="2" style="38" customWidth="1"/>
    <col min="13289" max="13289" width="1" style="38" customWidth="1"/>
    <col min="13290" max="13290" width="17.88671875" style="38" customWidth="1"/>
    <col min="13291" max="13294" width="1" style="38" customWidth="1"/>
    <col min="13295" max="13295" width="17.88671875" style="38" customWidth="1"/>
    <col min="13296" max="13299" width="1" style="38" customWidth="1"/>
    <col min="13300" max="13300" width="17.88671875" style="38" customWidth="1"/>
    <col min="13301" max="13304" width="1" style="38" customWidth="1"/>
    <col min="13305" max="13305" width="17.88671875" style="38" customWidth="1"/>
    <col min="13306" max="13309" width="1" style="38" customWidth="1"/>
    <col min="13310" max="13310" width="17.88671875" style="38" customWidth="1"/>
    <col min="13311" max="13314" width="1" style="38" customWidth="1"/>
    <col min="13315" max="13315" width="17.88671875" style="38" customWidth="1"/>
    <col min="13316" max="13319" width="1" style="38" customWidth="1"/>
    <col min="13320" max="13320" width="17.88671875" style="38" customWidth="1"/>
    <col min="13321" max="13324" width="1" style="38" customWidth="1"/>
    <col min="13325" max="13325" width="17.88671875" style="38" customWidth="1"/>
    <col min="13326" max="13329" width="1" style="38" customWidth="1"/>
    <col min="13330" max="13330" width="17.88671875" style="38" customWidth="1"/>
    <col min="13331" max="13334" width="1" style="38" customWidth="1"/>
    <col min="13335" max="13335" width="17.88671875" style="38" customWidth="1"/>
    <col min="13336" max="13339" width="1" style="38" customWidth="1"/>
    <col min="13340" max="13340" width="17.88671875" style="38" customWidth="1"/>
    <col min="13341" max="13344" width="1" style="38" customWidth="1"/>
    <col min="13345" max="13345" width="17.88671875" style="38" customWidth="1"/>
    <col min="13346" max="13349" width="1" style="38" customWidth="1"/>
    <col min="13350" max="13350" width="17.88671875" style="38" customWidth="1"/>
    <col min="13351" max="13354" width="1" style="38" customWidth="1"/>
    <col min="13355" max="13355" width="17.88671875" style="38" customWidth="1"/>
    <col min="13356" max="13357" width="1" style="38" customWidth="1"/>
    <col min="13358" max="13376" width="0" style="38" hidden="1" customWidth="1"/>
    <col min="13377" max="13377" width="1" style="38" customWidth="1"/>
    <col min="13378" max="13412" width="0" style="38" hidden="1" customWidth="1"/>
    <col min="13413" max="13414" width="1" style="38" customWidth="1"/>
    <col min="13415" max="13415" width="17.88671875" style="38" customWidth="1"/>
    <col min="13416" max="13419" width="1" style="38" customWidth="1"/>
    <col min="13420" max="13420" width="17.88671875" style="38" customWidth="1"/>
    <col min="13421" max="13422" width="1" style="38" customWidth="1"/>
    <col min="13423" max="13423" width="1.5546875" style="38" customWidth="1"/>
    <col min="13424" max="13424" width="0.6640625" style="38" customWidth="1"/>
    <col min="13425" max="13425" width="1.88671875" style="38" customWidth="1"/>
    <col min="13426" max="13426" width="10.6640625" style="38" customWidth="1"/>
    <col min="13427" max="13427" width="0" style="38" hidden="1" customWidth="1"/>
    <col min="13428" max="13533" width="10" style="38"/>
    <col min="13534" max="13534" width="1.5546875" style="38" customWidth="1"/>
    <col min="13535" max="13535" width="1.44140625" style="38" customWidth="1"/>
    <col min="13536" max="13536" width="57.5546875" style="38" customWidth="1"/>
    <col min="13537" max="13537" width="2.6640625" style="38" customWidth="1"/>
    <col min="13538" max="13538" width="0" style="38" hidden="1" customWidth="1"/>
    <col min="13539" max="13540" width="1" style="38" customWidth="1"/>
    <col min="13541" max="13541" width="19.6640625" style="38" customWidth="1"/>
    <col min="13542" max="13543" width="1" style="38" customWidth="1"/>
    <col min="13544" max="13544" width="2" style="38" customWidth="1"/>
    <col min="13545" max="13545" width="1" style="38" customWidth="1"/>
    <col min="13546" max="13546" width="17.88671875" style="38" customWidth="1"/>
    <col min="13547" max="13550" width="1" style="38" customWidth="1"/>
    <col min="13551" max="13551" width="17.88671875" style="38" customWidth="1"/>
    <col min="13552" max="13555" width="1" style="38" customWidth="1"/>
    <col min="13556" max="13556" width="17.88671875" style="38" customWidth="1"/>
    <col min="13557" max="13560" width="1" style="38" customWidth="1"/>
    <col min="13561" max="13561" width="17.88671875" style="38" customWidth="1"/>
    <col min="13562" max="13565" width="1" style="38" customWidth="1"/>
    <col min="13566" max="13566" width="17.88671875" style="38" customWidth="1"/>
    <col min="13567" max="13570" width="1" style="38" customWidth="1"/>
    <col min="13571" max="13571" width="17.88671875" style="38" customWidth="1"/>
    <col min="13572" max="13575" width="1" style="38" customWidth="1"/>
    <col min="13576" max="13576" width="17.88671875" style="38" customWidth="1"/>
    <col min="13577" max="13580" width="1" style="38" customWidth="1"/>
    <col min="13581" max="13581" width="17.88671875" style="38" customWidth="1"/>
    <col min="13582" max="13585" width="1" style="38" customWidth="1"/>
    <col min="13586" max="13586" width="17.88671875" style="38" customWidth="1"/>
    <col min="13587" max="13590" width="1" style="38" customWidth="1"/>
    <col min="13591" max="13591" width="17.88671875" style="38" customWidth="1"/>
    <col min="13592" max="13595" width="1" style="38" customWidth="1"/>
    <col min="13596" max="13596" width="17.88671875" style="38" customWidth="1"/>
    <col min="13597" max="13600" width="1" style="38" customWidth="1"/>
    <col min="13601" max="13601" width="17.88671875" style="38" customWidth="1"/>
    <col min="13602" max="13605" width="1" style="38" customWidth="1"/>
    <col min="13606" max="13606" width="17.88671875" style="38" customWidth="1"/>
    <col min="13607" max="13610" width="1" style="38" customWidth="1"/>
    <col min="13611" max="13611" width="17.88671875" style="38" customWidth="1"/>
    <col min="13612" max="13613" width="1" style="38" customWidth="1"/>
    <col min="13614" max="13632" width="0" style="38" hidden="1" customWidth="1"/>
    <col min="13633" max="13633" width="1" style="38" customWidth="1"/>
    <col min="13634" max="13668" width="0" style="38" hidden="1" customWidth="1"/>
    <col min="13669" max="13670" width="1" style="38" customWidth="1"/>
    <col min="13671" max="13671" width="17.88671875" style="38" customWidth="1"/>
    <col min="13672" max="13675" width="1" style="38" customWidth="1"/>
    <col min="13676" max="13676" width="17.88671875" style="38" customWidth="1"/>
    <col min="13677" max="13678" width="1" style="38" customWidth="1"/>
    <col min="13679" max="13679" width="1.5546875" style="38" customWidth="1"/>
    <col min="13680" max="13680" width="0.6640625" style="38" customWidth="1"/>
    <col min="13681" max="13681" width="1.88671875" style="38" customWidth="1"/>
    <col min="13682" max="13682" width="10.6640625" style="38" customWidth="1"/>
    <col min="13683" max="13683" width="0" style="38" hidden="1" customWidth="1"/>
    <col min="13684" max="13789" width="10" style="38"/>
    <col min="13790" max="13790" width="1.5546875" style="38" customWidth="1"/>
    <col min="13791" max="13791" width="1.44140625" style="38" customWidth="1"/>
    <col min="13792" max="13792" width="57.5546875" style="38" customWidth="1"/>
    <col min="13793" max="13793" width="2.6640625" style="38" customWidth="1"/>
    <col min="13794" max="13794" width="0" style="38" hidden="1" customWidth="1"/>
    <col min="13795" max="13796" width="1" style="38" customWidth="1"/>
    <col min="13797" max="13797" width="19.6640625" style="38" customWidth="1"/>
    <col min="13798" max="13799" width="1" style="38" customWidth="1"/>
    <col min="13800" max="13800" width="2" style="38" customWidth="1"/>
    <col min="13801" max="13801" width="1" style="38" customWidth="1"/>
    <col min="13802" max="13802" width="17.88671875" style="38" customWidth="1"/>
    <col min="13803" max="13806" width="1" style="38" customWidth="1"/>
    <col min="13807" max="13807" width="17.88671875" style="38" customWidth="1"/>
    <col min="13808" max="13811" width="1" style="38" customWidth="1"/>
    <col min="13812" max="13812" width="17.88671875" style="38" customWidth="1"/>
    <col min="13813" max="13816" width="1" style="38" customWidth="1"/>
    <col min="13817" max="13817" width="17.88671875" style="38" customWidth="1"/>
    <col min="13818" max="13821" width="1" style="38" customWidth="1"/>
    <col min="13822" max="13822" width="17.88671875" style="38" customWidth="1"/>
    <col min="13823" max="13826" width="1" style="38" customWidth="1"/>
    <col min="13827" max="13827" width="17.88671875" style="38" customWidth="1"/>
    <col min="13828" max="13831" width="1" style="38" customWidth="1"/>
    <col min="13832" max="13832" width="17.88671875" style="38" customWidth="1"/>
    <col min="13833" max="13836" width="1" style="38" customWidth="1"/>
    <col min="13837" max="13837" width="17.88671875" style="38" customWidth="1"/>
    <col min="13838" max="13841" width="1" style="38" customWidth="1"/>
    <col min="13842" max="13842" width="17.88671875" style="38" customWidth="1"/>
    <col min="13843" max="13846" width="1" style="38" customWidth="1"/>
    <col min="13847" max="13847" width="17.88671875" style="38" customWidth="1"/>
    <col min="13848" max="13851" width="1" style="38" customWidth="1"/>
    <col min="13852" max="13852" width="17.88671875" style="38" customWidth="1"/>
    <col min="13853" max="13856" width="1" style="38" customWidth="1"/>
    <col min="13857" max="13857" width="17.88671875" style="38" customWidth="1"/>
    <col min="13858" max="13861" width="1" style="38" customWidth="1"/>
    <col min="13862" max="13862" width="17.88671875" style="38" customWidth="1"/>
    <col min="13863" max="13866" width="1" style="38" customWidth="1"/>
    <col min="13867" max="13867" width="17.88671875" style="38" customWidth="1"/>
    <col min="13868" max="13869" width="1" style="38" customWidth="1"/>
    <col min="13870" max="13888" width="0" style="38" hidden="1" customWidth="1"/>
    <col min="13889" max="13889" width="1" style="38" customWidth="1"/>
    <col min="13890" max="13924" width="0" style="38" hidden="1" customWidth="1"/>
    <col min="13925" max="13926" width="1" style="38" customWidth="1"/>
    <col min="13927" max="13927" width="17.88671875" style="38" customWidth="1"/>
    <col min="13928" max="13931" width="1" style="38" customWidth="1"/>
    <col min="13932" max="13932" width="17.88671875" style="38" customWidth="1"/>
    <col min="13933" max="13934" width="1" style="38" customWidth="1"/>
    <col min="13935" max="13935" width="1.5546875" style="38" customWidth="1"/>
    <col min="13936" max="13936" width="0.6640625" style="38" customWidth="1"/>
    <col min="13937" max="13937" width="1.88671875" style="38" customWidth="1"/>
    <col min="13938" max="13938" width="10.6640625" style="38" customWidth="1"/>
    <col min="13939" max="13939" width="0" style="38" hidden="1" customWidth="1"/>
    <col min="13940" max="14045" width="10" style="38"/>
    <col min="14046" max="14046" width="1.5546875" style="38" customWidth="1"/>
    <col min="14047" max="14047" width="1.44140625" style="38" customWidth="1"/>
    <col min="14048" max="14048" width="57.5546875" style="38" customWidth="1"/>
    <col min="14049" max="14049" width="2.6640625" style="38" customWidth="1"/>
    <col min="14050" max="14050" width="0" style="38" hidden="1" customWidth="1"/>
    <col min="14051" max="14052" width="1" style="38" customWidth="1"/>
    <col min="14053" max="14053" width="19.6640625" style="38" customWidth="1"/>
    <col min="14054" max="14055" width="1" style="38" customWidth="1"/>
    <col min="14056" max="14056" width="2" style="38" customWidth="1"/>
    <col min="14057" max="14057" width="1" style="38" customWidth="1"/>
    <col min="14058" max="14058" width="17.88671875" style="38" customWidth="1"/>
    <col min="14059" max="14062" width="1" style="38" customWidth="1"/>
    <col min="14063" max="14063" width="17.88671875" style="38" customWidth="1"/>
    <col min="14064" max="14067" width="1" style="38" customWidth="1"/>
    <col min="14068" max="14068" width="17.88671875" style="38" customWidth="1"/>
    <col min="14069" max="14072" width="1" style="38" customWidth="1"/>
    <col min="14073" max="14073" width="17.88671875" style="38" customWidth="1"/>
    <col min="14074" max="14077" width="1" style="38" customWidth="1"/>
    <col min="14078" max="14078" width="17.88671875" style="38" customWidth="1"/>
    <col min="14079" max="14082" width="1" style="38" customWidth="1"/>
    <col min="14083" max="14083" width="17.88671875" style="38" customWidth="1"/>
    <col min="14084" max="14087" width="1" style="38" customWidth="1"/>
    <col min="14088" max="14088" width="17.88671875" style="38" customWidth="1"/>
    <col min="14089" max="14092" width="1" style="38" customWidth="1"/>
    <col min="14093" max="14093" width="17.88671875" style="38" customWidth="1"/>
    <col min="14094" max="14097" width="1" style="38" customWidth="1"/>
    <col min="14098" max="14098" width="17.88671875" style="38" customWidth="1"/>
    <col min="14099" max="14102" width="1" style="38" customWidth="1"/>
    <col min="14103" max="14103" width="17.88671875" style="38" customWidth="1"/>
    <col min="14104" max="14107" width="1" style="38" customWidth="1"/>
    <col min="14108" max="14108" width="17.88671875" style="38" customWidth="1"/>
    <col min="14109" max="14112" width="1" style="38" customWidth="1"/>
    <col min="14113" max="14113" width="17.88671875" style="38" customWidth="1"/>
    <col min="14114" max="14117" width="1" style="38" customWidth="1"/>
    <col min="14118" max="14118" width="17.88671875" style="38" customWidth="1"/>
    <col min="14119" max="14122" width="1" style="38" customWidth="1"/>
    <col min="14123" max="14123" width="17.88671875" style="38" customWidth="1"/>
    <col min="14124" max="14125" width="1" style="38" customWidth="1"/>
    <col min="14126" max="14144" width="0" style="38" hidden="1" customWidth="1"/>
    <col min="14145" max="14145" width="1" style="38" customWidth="1"/>
    <col min="14146" max="14180" width="0" style="38" hidden="1" customWidth="1"/>
    <col min="14181" max="14182" width="1" style="38" customWidth="1"/>
    <col min="14183" max="14183" width="17.88671875" style="38" customWidth="1"/>
    <col min="14184" max="14187" width="1" style="38" customWidth="1"/>
    <col min="14188" max="14188" width="17.88671875" style="38" customWidth="1"/>
    <col min="14189" max="14190" width="1" style="38" customWidth="1"/>
    <col min="14191" max="14191" width="1.5546875" style="38" customWidth="1"/>
    <col min="14192" max="14192" width="0.6640625" style="38" customWidth="1"/>
    <col min="14193" max="14193" width="1.88671875" style="38" customWidth="1"/>
    <col min="14194" max="14194" width="10.6640625" style="38" customWidth="1"/>
    <col min="14195" max="14195" width="0" style="38" hidden="1" customWidth="1"/>
    <col min="14196" max="14301" width="10" style="38"/>
    <col min="14302" max="14302" width="1.5546875" style="38" customWidth="1"/>
    <col min="14303" max="14303" width="1.44140625" style="38" customWidth="1"/>
    <col min="14304" max="14304" width="57.5546875" style="38" customWidth="1"/>
    <col min="14305" max="14305" width="2.6640625" style="38" customWidth="1"/>
    <col min="14306" max="14306" width="0" style="38" hidden="1" customWidth="1"/>
    <col min="14307" max="14308" width="1" style="38" customWidth="1"/>
    <col min="14309" max="14309" width="19.6640625" style="38" customWidth="1"/>
    <col min="14310" max="14311" width="1" style="38" customWidth="1"/>
    <col min="14312" max="14312" width="2" style="38" customWidth="1"/>
    <col min="14313" max="14313" width="1" style="38" customWidth="1"/>
    <col min="14314" max="14314" width="17.88671875" style="38" customWidth="1"/>
    <col min="14315" max="14318" width="1" style="38" customWidth="1"/>
    <col min="14319" max="14319" width="17.88671875" style="38" customWidth="1"/>
    <col min="14320" max="14323" width="1" style="38" customWidth="1"/>
    <col min="14324" max="14324" width="17.88671875" style="38" customWidth="1"/>
    <col min="14325" max="14328" width="1" style="38" customWidth="1"/>
    <col min="14329" max="14329" width="17.88671875" style="38" customWidth="1"/>
    <col min="14330" max="14333" width="1" style="38" customWidth="1"/>
    <col min="14334" max="14334" width="17.88671875" style="38" customWidth="1"/>
    <col min="14335" max="14338" width="1" style="38" customWidth="1"/>
    <col min="14339" max="14339" width="17.88671875" style="38" customWidth="1"/>
    <col min="14340" max="14343" width="1" style="38" customWidth="1"/>
    <col min="14344" max="14344" width="17.88671875" style="38" customWidth="1"/>
    <col min="14345" max="14348" width="1" style="38" customWidth="1"/>
    <col min="14349" max="14349" width="17.88671875" style="38" customWidth="1"/>
    <col min="14350" max="14353" width="1" style="38" customWidth="1"/>
    <col min="14354" max="14354" width="17.88671875" style="38" customWidth="1"/>
    <col min="14355" max="14358" width="1" style="38" customWidth="1"/>
    <col min="14359" max="14359" width="17.88671875" style="38" customWidth="1"/>
    <col min="14360" max="14363" width="1" style="38" customWidth="1"/>
    <col min="14364" max="14364" width="17.88671875" style="38" customWidth="1"/>
    <col min="14365" max="14368" width="1" style="38" customWidth="1"/>
    <col min="14369" max="14369" width="17.88671875" style="38" customWidth="1"/>
    <col min="14370" max="14373" width="1" style="38" customWidth="1"/>
    <col min="14374" max="14374" width="17.88671875" style="38" customWidth="1"/>
    <col min="14375" max="14378" width="1" style="38" customWidth="1"/>
    <col min="14379" max="14379" width="17.88671875" style="38" customWidth="1"/>
    <col min="14380" max="14381" width="1" style="38" customWidth="1"/>
    <col min="14382" max="14400" width="0" style="38" hidden="1" customWidth="1"/>
    <col min="14401" max="14401" width="1" style="38" customWidth="1"/>
    <col min="14402" max="14436" width="0" style="38" hidden="1" customWidth="1"/>
    <col min="14437" max="14438" width="1" style="38" customWidth="1"/>
    <col min="14439" max="14439" width="17.88671875" style="38" customWidth="1"/>
    <col min="14440" max="14443" width="1" style="38" customWidth="1"/>
    <col min="14444" max="14444" width="17.88671875" style="38" customWidth="1"/>
    <col min="14445" max="14446" width="1" style="38" customWidth="1"/>
    <col min="14447" max="14447" width="1.5546875" style="38" customWidth="1"/>
    <col min="14448" max="14448" width="0.6640625" style="38" customWidth="1"/>
    <col min="14449" max="14449" width="1.88671875" style="38" customWidth="1"/>
    <col min="14450" max="14450" width="10.6640625" style="38" customWidth="1"/>
    <col min="14451" max="14451" width="0" style="38" hidden="1" customWidth="1"/>
    <col min="14452" max="14557" width="10" style="38"/>
    <col min="14558" max="14558" width="1.5546875" style="38" customWidth="1"/>
    <col min="14559" max="14559" width="1.44140625" style="38" customWidth="1"/>
    <col min="14560" max="14560" width="57.5546875" style="38" customWidth="1"/>
    <col min="14561" max="14561" width="2.6640625" style="38" customWidth="1"/>
    <col min="14562" max="14562" width="0" style="38" hidden="1" customWidth="1"/>
    <col min="14563" max="14564" width="1" style="38" customWidth="1"/>
    <col min="14565" max="14565" width="19.6640625" style="38" customWidth="1"/>
    <col min="14566" max="14567" width="1" style="38" customWidth="1"/>
    <col min="14568" max="14568" width="2" style="38" customWidth="1"/>
    <col min="14569" max="14569" width="1" style="38" customWidth="1"/>
    <col min="14570" max="14570" width="17.88671875" style="38" customWidth="1"/>
    <col min="14571" max="14574" width="1" style="38" customWidth="1"/>
    <col min="14575" max="14575" width="17.88671875" style="38" customWidth="1"/>
    <col min="14576" max="14579" width="1" style="38" customWidth="1"/>
    <col min="14580" max="14580" width="17.88671875" style="38" customWidth="1"/>
    <col min="14581" max="14584" width="1" style="38" customWidth="1"/>
    <col min="14585" max="14585" width="17.88671875" style="38" customWidth="1"/>
    <col min="14586" max="14589" width="1" style="38" customWidth="1"/>
    <col min="14590" max="14590" width="17.88671875" style="38" customWidth="1"/>
    <col min="14591" max="14594" width="1" style="38" customWidth="1"/>
    <col min="14595" max="14595" width="17.88671875" style="38" customWidth="1"/>
    <col min="14596" max="14599" width="1" style="38" customWidth="1"/>
    <col min="14600" max="14600" width="17.88671875" style="38" customWidth="1"/>
    <col min="14601" max="14604" width="1" style="38" customWidth="1"/>
    <col min="14605" max="14605" width="17.88671875" style="38" customWidth="1"/>
    <col min="14606" max="14609" width="1" style="38" customWidth="1"/>
    <col min="14610" max="14610" width="17.88671875" style="38" customWidth="1"/>
    <col min="14611" max="14614" width="1" style="38" customWidth="1"/>
    <col min="14615" max="14615" width="17.88671875" style="38" customWidth="1"/>
    <col min="14616" max="14619" width="1" style="38" customWidth="1"/>
    <col min="14620" max="14620" width="17.88671875" style="38" customWidth="1"/>
    <col min="14621" max="14624" width="1" style="38" customWidth="1"/>
    <col min="14625" max="14625" width="17.88671875" style="38" customWidth="1"/>
    <col min="14626" max="14629" width="1" style="38" customWidth="1"/>
    <col min="14630" max="14630" width="17.88671875" style="38" customWidth="1"/>
    <col min="14631" max="14634" width="1" style="38" customWidth="1"/>
    <col min="14635" max="14635" width="17.88671875" style="38" customWidth="1"/>
    <col min="14636" max="14637" width="1" style="38" customWidth="1"/>
    <col min="14638" max="14656" width="0" style="38" hidden="1" customWidth="1"/>
    <col min="14657" max="14657" width="1" style="38" customWidth="1"/>
    <col min="14658" max="14692" width="0" style="38" hidden="1" customWidth="1"/>
    <col min="14693" max="14694" width="1" style="38" customWidth="1"/>
    <col min="14695" max="14695" width="17.88671875" style="38" customWidth="1"/>
    <col min="14696" max="14699" width="1" style="38" customWidth="1"/>
    <col min="14700" max="14700" width="17.88671875" style="38" customWidth="1"/>
    <col min="14701" max="14702" width="1" style="38" customWidth="1"/>
    <col min="14703" max="14703" width="1.5546875" style="38" customWidth="1"/>
    <col min="14704" max="14704" width="0.6640625" style="38" customWidth="1"/>
    <col min="14705" max="14705" width="1.88671875" style="38" customWidth="1"/>
    <col min="14706" max="14706" width="10.6640625" style="38" customWidth="1"/>
    <col min="14707" max="14707" width="0" style="38" hidden="1" customWidth="1"/>
    <col min="14708" max="14813" width="10" style="38"/>
    <col min="14814" max="14814" width="1.5546875" style="38" customWidth="1"/>
    <col min="14815" max="14815" width="1.44140625" style="38" customWidth="1"/>
    <col min="14816" max="14816" width="57.5546875" style="38" customWidth="1"/>
    <col min="14817" max="14817" width="2.6640625" style="38" customWidth="1"/>
    <col min="14818" max="14818" width="0" style="38" hidden="1" customWidth="1"/>
    <col min="14819" max="14820" width="1" style="38" customWidth="1"/>
    <col min="14821" max="14821" width="19.6640625" style="38" customWidth="1"/>
    <col min="14822" max="14823" width="1" style="38" customWidth="1"/>
    <col min="14824" max="14824" width="2" style="38" customWidth="1"/>
    <col min="14825" max="14825" width="1" style="38" customWidth="1"/>
    <col min="14826" max="14826" width="17.88671875" style="38" customWidth="1"/>
    <col min="14827" max="14830" width="1" style="38" customWidth="1"/>
    <col min="14831" max="14831" width="17.88671875" style="38" customWidth="1"/>
    <col min="14832" max="14835" width="1" style="38" customWidth="1"/>
    <col min="14836" max="14836" width="17.88671875" style="38" customWidth="1"/>
    <col min="14837" max="14840" width="1" style="38" customWidth="1"/>
    <col min="14841" max="14841" width="17.88671875" style="38" customWidth="1"/>
    <col min="14842" max="14845" width="1" style="38" customWidth="1"/>
    <col min="14846" max="14846" width="17.88671875" style="38" customWidth="1"/>
    <col min="14847" max="14850" width="1" style="38" customWidth="1"/>
    <col min="14851" max="14851" width="17.88671875" style="38" customWidth="1"/>
    <col min="14852" max="14855" width="1" style="38" customWidth="1"/>
    <col min="14856" max="14856" width="17.88671875" style="38" customWidth="1"/>
    <col min="14857" max="14860" width="1" style="38" customWidth="1"/>
    <col min="14861" max="14861" width="17.88671875" style="38" customWidth="1"/>
    <col min="14862" max="14865" width="1" style="38" customWidth="1"/>
    <col min="14866" max="14866" width="17.88671875" style="38" customWidth="1"/>
    <col min="14867" max="14870" width="1" style="38" customWidth="1"/>
    <col min="14871" max="14871" width="17.88671875" style="38" customWidth="1"/>
    <col min="14872" max="14875" width="1" style="38" customWidth="1"/>
    <col min="14876" max="14876" width="17.88671875" style="38" customWidth="1"/>
    <col min="14877" max="14880" width="1" style="38" customWidth="1"/>
    <col min="14881" max="14881" width="17.88671875" style="38" customWidth="1"/>
    <col min="14882" max="14885" width="1" style="38" customWidth="1"/>
    <col min="14886" max="14886" width="17.88671875" style="38" customWidth="1"/>
    <col min="14887" max="14890" width="1" style="38" customWidth="1"/>
    <col min="14891" max="14891" width="17.88671875" style="38" customWidth="1"/>
    <col min="14892" max="14893" width="1" style="38" customWidth="1"/>
    <col min="14894" max="14912" width="0" style="38" hidden="1" customWidth="1"/>
    <col min="14913" max="14913" width="1" style="38" customWidth="1"/>
    <col min="14914" max="14948" width="0" style="38" hidden="1" customWidth="1"/>
    <col min="14949" max="14950" width="1" style="38" customWidth="1"/>
    <col min="14951" max="14951" width="17.88671875" style="38" customWidth="1"/>
    <col min="14952" max="14955" width="1" style="38" customWidth="1"/>
    <col min="14956" max="14956" width="17.88671875" style="38" customWidth="1"/>
    <col min="14957" max="14958" width="1" style="38" customWidth="1"/>
    <col min="14959" max="14959" width="1.5546875" style="38" customWidth="1"/>
    <col min="14960" max="14960" width="0.6640625" style="38" customWidth="1"/>
    <col min="14961" max="14961" width="1.88671875" style="38" customWidth="1"/>
    <col min="14962" max="14962" width="10.6640625" style="38" customWidth="1"/>
    <col min="14963" max="14963" width="0" style="38" hidden="1" customWidth="1"/>
    <col min="14964" max="15069" width="10" style="38"/>
    <col min="15070" max="15070" width="1.5546875" style="38" customWidth="1"/>
    <col min="15071" max="15071" width="1.44140625" style="38" customWidth="1"/>
    <col min="15072" max="15072" width="57.5546875" style="38" customWidth="1"/>
    <col min="15073" max="15073" width="2.6640625" style="38" customWidth="1"/>
    <col min="15074" max="15074" width="0" style="38" hidden="1" customWidth="1"/>
    <col min="15075" max="15076" width="1" style="38" customWidth="1"/>
    <col min="15077" max="15077" width="19.6640625" style="38" customWidth="1"/>
    <col min="15078" max="15079" width="1" style="38" customWidth="1"/>
    <col min="15080" max="15080" width="2" style="38" customWidth="1"/>
    <col min="15081" max="15081" width="1" style="38" customWidth="1"/>
    <col min="15082" max="15082" width="17.88671875" style="38" customWidth="1"/>
    <col min="15083" max="15086" width="1" style="38" customWidth="1"/>
    <col min="15087" max="15087" width="17.88671875" style="38" customWidth="1"/>
    <col min="15088" max="15091" width="1" style="38" customWidth="1"/>
    <col min="15092" max="15092" width="17.88671875" style="38" customWidth="1"/>
    <col min="15093" max="15096" width="1" style="38" customWidth="1"/>
    <col min="15097" max="15097" width="17.88671875" style="38" customWidth="1"/>
    <col min="15098" max="15101" width="1" style="38" customWidth="1"/>
    <col min="15102" max="15102" width="17.88671875" style="38" customWidth="1"/>
    <col min="15103" max="15106" width="1" style="38" customWidth="1"/>
    <col min="15107" max="15107" width="17.88671875" style="38" customWidth="1"/>
    <col min="15108" max="15111" width="1" style="38" customWidth="1"/>
    <col min="15112" max="15112" width="17.88671875" style="38" customWidth="1"/>
    <col min="15113" max="15116" width="1" style="38" customWidth="1"/>
    <col min="15117" max="15117" width="17.88671875" style="38" customWidth="1"/>
    <col min="15118" max="15121" width="1" style="38" customWidth="1"/>
    <col min="15122" max="15122" width="17.88671875" style="38" customWidth="1"/>
    <col min="15123" max="15126" width="1" style="38" customWidth="1"/>
    <col min="15127" max="15127" width="17.88671875" style="38" customWidth="1"/>
    <col min="15128" max="15131" width="1" style="38" customWidth="1"/>
    <col min="15132" max="15132" width="17.88671875" style="38" customWidth="1"/>
    <col min="15133" max="15136" width="1" style="38" customWidth="1"/>
    <col min="15137" max="15137" width="17.88671875" style="38" customWidth="1"/>
    <col min="15138" max="15141" width="1" style="38" customWidth="1"/>
    <col min="15142" max="15142" width="17.88671875" style="38" customWidth="1"/>
    <col min="15143" max="15146" width="1" style="38" customWidth="1"/>
    <col min="15147" max="15147" width="17.88671875" style="38" customWidth="1"/>
    <col min="15148" max="15149" width="1" style="38" customWidth="1"/>
    <col min="15150" max="15168" width="0" style="38" hidden="1" customWidth="1"/>
    <col min="15169" max="15169" width="1" style="38" customWidth="1"/>
    <col min="15170" max="15204" width="0" style="38" hidden="1" customWidth="1"/>
    <col min="15205" max="15206" width="1" style="38" customWidth="1"/>
    <col min="15207" max="15207" width="17.88671875" style="38" customWidth="1"/>
    <col min="15208" max="15211" width="1" style="38" customWidth="1"/>
    <col min="15212" max="15212" width="17.88671875" style="38" customWidth="1"/>
    <col min="15213" max="15214" width="1" style="38" customWidth="1"/>
    <col min="15215" max="15215" width="1.5546875" style="38" customWidth="1"/>
    <col min="15216" max="15216" width="0.6640625" style="38" customWidth="1"/>
    <col min="15217" max="15217" width="1.88671875" style="38" customWidth="1"/>
    <col min="15218" max="15218" width="10.6640625" style="38" customWidth="1"/>
    <col min="15219" max="15219" width="0" style="38" hidden="1" customWidth="1"/>
    <col min="15220" max="15325" width="10" style="38"/>
    <col min="15326" max="15326" width="1.5546875" style="38" customWidth="1"/>
    <col min="15327" max="15327" width="1.44140625" style="38" customWidth="1"/>
    <col min="15328" max="15328" width="57.5546875" style="38" customWidth="1"/>
    <col min="15329" max="15329" width="2.6640625" style="38" customWidth="1"/>
    <col min="15330" max="15330" width="0" style="38" hidden="1" customWidth="1"/>
    <col min="15331" max="15332" width="1" style="38" customWidth="1"/>
    <col min="15333" max="15333" width="19.6640625" style="38" customWidth="1"/>
    <col min="15334" max="15335" width="1" style="38" customWidth="1"/>
    <col min="15336" max="15336" width="2" style="38" customWidth="1"/>
    <col min="15337" max="15337" width="1" style="38" customWidth="1"/>
    <col min="15338" max="15338" width="17.88671875" style="38" customWidth="1"/>
    <col min="15339" max="15342" width="1" style="38" customWidth="1"/>
    <col min="15343" max="15343" width="17.88671875" style="38" customWidth="1"/>
    <col min="15344" max="15347" width="1" style="38" customWidth="1"/>
    <col min="15348" max="15348" width="17.88671875" style="38" customWidth="1"/>
    <col min="15349" max="15352" width="1" style="38" customWidth="1"/>
    <col min="15353" max="15353" width="17.88671875" style="38" customWidth="1"/>
    <col min="15354" max="15357" width="1" style="38" customWidth="1"/>
    <col min="15358" max="15358" width="17.88671875" style="38" customWidth="1"/>
    <col min="15359" max="15362" width="1" style="38" customWidth="1"/>
    <col min="15363" max="15363" width="17.88671875" style="38" customWidth="1"/>
    <col min="15364" max="15367" width="1" style="38" customWidth="1"/>
    <col min="15368" max="15368" width="17.88671875" style="38" customWidth="1"/>
    <col min="15369" max="15372" width="1" style="38" customWidth="1"/>
    <col min="15373" max="15373" width="17.88671875" style="38" customWidth="1"/>
    <col min="15374" max="15377" width="1" style="38" customWidth="1"/>
    <col min="15378" max="15378" width="17.88671875" style="38" customWidth="1"/>
    <col min="15379" max="15382" width="1" style="38" customWidth="1"/>
    <col min="15383" max="15383" width="17.88671875" style="38" customWidth="1"/>
    <col min="15384" max="15387" width="1" style="38" customWidth="1"/>
    <col min="15388" max="15388" width="17.88671875" style="38" customWidth="1"/>
    <col min="15389" max="15392" width="1" style="38" customWidth="1"/>
    <col min="15393" max="15393" width="17.88671875" style="38" customWidth="1"/>
    <col min="15394" max="15397" width="1" style="38" customWidth="1"/>
    <col min="15398" max="15398" width="17.88671875" style="38" customWidth="1"/>
    <col min="15399" max="15402" width="1" style="38" customWidth="1"/>
    <col min="15403" max="15403" width="17.88671875" style="38" customWidth="1"/>
    <col min="15404" max="15405" width="1" style="38" customWidth="1"/>
    <col min="15406" max="15424" width="0" style="38" hidden="1" customWidth="1"/>
    <col min="15425" max="15425" width="1" style="38" customWidth="1"/>
    <col min="15426" max="15460" width="0" style="38" hidden="1" customWidth="1"/>
    <col min="15461" max="15462" width="1" style="38" customWidth="1"/>
    <col min="15463" max="15463" width="17.88671875" style="38" customWidth="1"/>
    <col min="15464" max="15467" width="1" style="38" customWidth="1"/>
    <col min="15468" max="15468" width="17.88671875" style="38" customWidth="1"/>
    <col min="15469" max="15470" width="1" style="38" customWidth="1"/>
    <col min="15471" max="15471" width="1.5546875" style="38" customWidth="1"/>
    <col min="15472" max="15472" width="0.6640625" style="38" customWidth="1"/>
    <col min="15473" max="15473" width="1.88671875" style="38" customWidth="1"/>
    <col min="15474" max="15474" width="10.6640625" style="38" customWidth="1"/>
    <col min="15475" max="15475" width="0" style="38" hidden="1" customWidth="1"/>
    <col min="15476" max="15581" width="10" style="38"/>
    <col min="15582" max="15582" width="1.5546875" style="38" customWidth="1"/>
    <col min="15583" max="15583" width="1.44140625" style="38" customWidth="1"/>
    <col min="15584" max="15584" width="57.5546875" style="38" customWidth="1"/>
    <col min="15585" max="15585" width="2.6640625" style="38" customWidth="1"/>
    <col min="15586" max="15586" width="0" style="38" hidden="1" customWidth="1"/>
    <col min="15587" max="15588" width="1" style="38" customWidth="1"/>
    <col min="15589" max="15589" width="19.6640625" style="38" customWidth="1"/>
    <col min="15590" max="15591" width="1" style="38" customWidth="1"/>
    <col min="15592" max="15592" width="2" style="38" customWidth="1"/>
    <col min="15593" max="15593" width="1" style="38" customWidth="1"/>
    <col min="15594" max="15594" width="17.88671875" style="38" customWidth="1"/>
    <col min="15595" max="15598" width="1" style="38" customWidth="1"/>
    <col min="15599" max="15599" width="17.88671875" style="38" customWidth="1"/>
    <col min="15600" max="15603" width="1" style="38" customWidth="1"/>
    <col min="15604" max="15604" width="17.88671875" style="38" customWidth="1"/>
    <col min="15605" max="15608" width="1" style="38" customWidth="1"/>
    <col min="15609" max="15609" width="17.88671875" style="38" customWidth="1"/>
    <col min="15610" max="15613" width="1" style="38" customWidth="1"/>
    <col min="15614" max="15614" width="17.88671875" style="38" customWidth="1"/>
    <col min="15615" max="15618" width="1" style="38" customWidth="1"/>
    <col min="15619" max="15619" width="17.88671875" style="38" customWidth="1"/>
    <col min="15620" max="15623" width="1" style="38" customWidth="1"/>
    <col min="15624" max="15624" width="17.88671875" style="38" customWidth="1"/>
    <col min="15625" max="15628" width="1" style="38" customWidth="1"/>
    <col min="15629" max="15629" width="17.88671875" style="38" customWidth="1"/>
    <col min="15630" max="15633" width="1" style="38" customWidth="1"/>
    <col min="15634" max="15634" width="17.88671875" style="38" customWidth="1"/>
    <col min="15635" max="15638" width="1" style="38" customWidth="1"/>
    <col min="15639" max="15639" width="17.88671875" style="38" customWidth="1"/>
    <col min="15640" max="15643" width="1" style="38" customWidth="1"/>
    <col min="15644" max="15644" width="17.88671875" style="38" customWidth="1"/>
    <col min="15645" max="15648" width="1" style="38" customWidth="1"/>
    <col min="15649" max="15649" width="17.88671875" style="38" customWidth="1"/>
    <col min="15650" max="15653" width="1" style="38" customWidth="1"/>
    <col min="15654" max="15654" width="17.88671875" style="38" customWidth="1"/>
    <col min="15655" max="15658" width="1" style="38" customWidth="1"/>
    <col min="15659" max="15659" width="17.88671875" style="38" customWidth="1"/>
    <col min="15660" max="15661" width="1" style="38" customWidth="1"/>
    <col min="15662" max="15680" width="0" style="38" hidden="1" customWidth="1"/>
    <col min="15681" max="15681" width="1" style="38" customWidth="1"/>
    <col min="15682" max="15716" width="0" style="38" hidden="1" customWidth="1"/>
    <col min="15717" max="15718" width="1" style="38" customWidth="1"/>
    <col min="15719" max="15719" width="17.88671875" style="38" customWidth="1"/>
    <col min="15720" max="15723" width="1" style="38" customWidth="1"/>
    <col min="15724" max="15724" width="17.88671875" style="38" customWidth="1"/>
    <col min="15725" max="15726" width="1" style="38" customWidth="1"/>
    <col min="15727" max="15727" width="1.5546875" style="38" customWidth="1"/>
    <col min="15728" max="15728" width="0.6640625" style="38" customWidth="1"/>
    <col min="15729" max="15729" width="1.88671875" style="38" customWidth="1"/>
    <col min="15730" max="15730" width="10.6640625" style="38" customWidth="1"/>
    <col min="15731" max="15731" width="0" style="38" hidden="1" customWidth="1"/>
    <col min="15732" max="15837" width="10" style="38"/>
    <col min="15838" max="15838" width="1.5546875" style="38" customWidth="1"/>
    <col min="15839" max="15839" width="1.44140625" style="38" customWidth="1"/>
    <col min="15840" max="15840" width="57.5546875" style="38" customWidth="1"/>
    <col min="15841" max="15841" width="2.6640625" style="38" customWidth="1"/>
    <col min="15842" max="15842" width="0" style="38" hidden="1" customWidth="1"/>
    <col min="15843" max="15844" width="1" style="38" customWidth="1"/>
    <col min="15845" max="15845" width="19.6640625" style="38" customWidth="1"/>
    <col min="15846" max="15847" width="1" style="38" customWidth="1"/>
    <col min="15848" max="15848" width="2" style="38" customWidth="1"/>
    <col min="15849" max="15849" width="1" style="38" customWidth="1"/>
    <col min="15850" max="15850" width="17.88671875" style="38" customWidth="1"/>
    <col min="15851" max="15854" width="1" style="38" customWidth="1"/>
    <col min="15855" max="15855" width="17.88671875" style="38" customWidth="1"/>
    <col min="15856" max="15859" width="1" style="38" customWidth="1"/>
    <col min="15860" max="15860" width="17.88671875" style="38" customWidth="1"/>
    <col min="15861" max="15864" width="1" style="38" customWidth="1"/>
    <col min="15865" max="15865" width="17.88671875" style="38" customWidth="1"/>
    <col min="15866" max="15869" width="1" style="38" customWidth="1"/>
    <col min="15870" max="15870" width="17.88671875" style="38" customWidth="1"/>
    <col min="15871" max="15874" width="1" style="38" customWidth="1"/>
    <col min="15875" max="15875" width="17.88671875" style="38" customWidth="1"/>
    <col min="15876" max="15879" width="1" style="38" customWidth="1"/>
    <col min="15880" max="15880" width="17.88671875" style="38" customWidth="1"/>
    <col min="15881" max="15884" width="1" style="38" customWidth="1"/>
    <col min="15885" max="15885" width="17.88671875" style="38" customWidth="1"/>
    <col min="15886" max="15889" width="1" style="38" customWidth="1"/>
    <col min="15890" max="15890" width="17.88671875" style="38" customWidth="1"/>
    <col min="15891" max="15894" width="1" style="38" customWidth="1"/>
    <col min="15895" max="15895" width="17.88671875" style="38" customWidth="1"/>
    <col min="15896" max="15899" width="1" style="38" customWidth="1"/>
    <col min="15900" max="15900" width="17.88671875" style="38" customWidth="1"/>
    <col min="15901" max="15904" width="1" style="38" customWidth="1"/>
    <col min="15905" max="15905" width="17.88671875" style="38" customWidth="1"/>
    <col min="15906" max="15909" width="1" style="38" customWidth="1"/>
    <col min="15910" max="15910" width="17.88671875" style="38" customWidth="1"/>
    <col min="15911" max="15914" width="1" style="38" customWidth="1"/>
    <col min="15915" max="15915" width="17.88671875" style="38" customWidth="1"/>
    <col min="15916" max="15917" width="1" style="38" customWidth="1"/>
    <col min="15918" max="15936" width="0" style="38" hidden="1" customWidth="1"/>
    <col min="15937" max="15937" width="1" style="38" customWidth="1"/>
    <col min="15938" max="15972" width="0" style="38" hidden="1" customWidth="1"/>
    <col min="15973" max="15974" width="1" style="38" customWidth="1"/>
    <col min="15975" max="15975" width="17.88671875" style="38" customWidth="1"/>
    <col min="15976" max="15979" width="1" style="38" customWidth="1"/>
    <col min="15980" max="15980" width="17.88671875" style="38" customWidth="1"/>
    <col min="15981" max="15982" width="1" style="38" customWidth="1"/>
    <col min="15983" max="15983" width="1.5546875" style="38" customWidth="1"/>
    <col min="15984" max="15984" width="0.6640625" style="38" customWidth="1"/>
    <col min="15985" max="15985" width="1.88671875" style="38" customWidth="1"/>
    <col min="15986" max="15986" width="10.6640625" style="38" customWidth="1"/>
    <col min="15987" max="15987" width="0" style="38" hidden="1" customWidth="1"/>
    <col min="15988" max="16093" width="10" style="38"/>
    <col min="16094" max="16094" width="1.5546875" style="38" customWidth="1"/>
    <col min="16095" max="16095" width="1.44140625" style="38" customWidth="1"/>
    <col min="16096" max="16096" width="57.5546875" style="38" customWidth="1"/>
    <col min="16097" max="16097" width="2.6640625" style="38" customWidth="1"/>
    <col min="16098" max="16098" width="0" style="38" hidden="1" customWidth="1"/>
    <col min="16099" max="16100" width="1" style="38" customWidth="1"/>
    <col min="16101" max="16101" width="19.6640625" style="38" customWidth="1"/>
    <col min="16102" max="16103" width="1" style="38" customWidth="1"/>
    <col min="16104" max="16104" width="2" style="38" customWidth="1"/>
    <col min="16105" max="16105" width="1" style="38" customWidth="1"/>
    <col min="16106" max="16106" width="17.88671875" style="38" customWidth="1"/>
    <col min="16107" max="16110" width="1" style="38" customWidth="1"/>
    <col min="16111" max="16111" width="17.88671875" style="38" customWidth="1"/>
    <col min="16112" max="16115" width="1" style="38" customWidth="1"/>
    <col min="16116" max="16116" width="17.88671875" style="38" customWidth="1"/>
    <col min="16117" max="16120" width="1" style="38" customWidth="1"/>
    <col min="16121" max="16121" width="17.88671875" style="38" customWidth="1"/>
    <col min="16122" max="16125" width="1" style="38" customWidth="1"/>
    <col min="16126" max="16126" width="17.88671875" style="38" customWidth="1"/>
    <col min="16127" max="16130" width="1" style="38" customWidth="1"/>
    <col min="16131" max="16131" width="17.88671875" style="38" customWidth="1"/>
    <col min="16132" max="16135" width="1" style="38" customWidth="1"/>
    <col min="16136" max="16136" width="17.88671875" style="38" customWidth="1"/>
    <col min="16137" max="16140" width="1" style="38" customWidth="1"/>
    <col min="16141" max="16141" width="17.88671875" style="38" customWidth="1"/>
    <col min="16142" max="16145" width="1" style="38" customWidth="1"/>
    <col min="16146" max="16146" width="17.88671875" style="38" customWidth="1"/>
    <col min="16147" max="16150" width="1" style="38" customWidth="1"/>
    <col min="16151" max="16151" width="17.88671875" style="38" customWidth="1"/>
    <col min="16152" max="16155" width="1" style="38" customWidth="1"/>
    <col min="16156" max="16156" width="17.88671875" style="38" customWidth="1"/>
    <col min="16157" max="16160" width="1" style="38" customWidth="1"/>
    <col min="16161" max="16161" width="17.88671875" style="38" customWidth="1"/>
    <col min="16162" max="16165" width="1" style="38" customWidth="1"/>
    <col min="16166" max="16166" width="17.88671875" style="38" customWidth="1"/>
    <col min="16167" max="16170" width="1" style="38" customWidth="1"/>
    <col min="16171" max="16171" width="17.88671875" style="38" customWidth="1"/>
    <col min="16172" max="16173" width="1" style="38" customWidth="1"/>
    <col min="16174" max="16192" width="0" style="38" hidden="1" customWidth="1"/>
    <col min="16193" max="16193" width="1" style="38" customWidth="1"/>
    <col min="16194" max="16228" width="0" style="38" hidden="1" customWidth="1"/>
    <col min="16229" max="16230" width="1" style="38" customWidth="1"/>
    <col min="16231" max="16231" width="17.88671875" style="38" customWidth="1"/>
    <col min="16232" max="16235" width="1" style="38" customWidth="1"/>
    <col min="16236" max="16236" width="17.88671875" style="38" customWidth="1"/>
    <col min="16237" max="16238" width="1" style="38" customWidth="1"/>
    <col min="16239" max="16239" width="1.5546875" style="38" customWidth="1"/>
    <col min="16240" max="16240" width="0.6640625" style="38" customWidth="1"/>
    <col min="16241" max="16241" width="1.88671875" style="38" customWidth="1"/>
    <col min="16242" max="16242" width="10.6640625" style="38" customWidth="1"/>
    <col min="16243" max="16243" width="0" style="38" hidden="1" customWidth="1"/>
    <col min="16244" max="16384" width="10" style="38"/>
  </cols>
  <sheetData>
    <row r="1" spans="1:115" x14ac:dyDescent="0.3">
      <c r="DG1" s="388"/>
      <c r="DH1" s="38"/>
    </row>
    <row r="2" spans="1:115" ht="5.25" customHeight="1" x14ac:dyDescent="0.3">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88"/>
      <c r="DG2" s="388"/>
    </row>
    <row r="3" spans="1:115" x14ac:dyDescent="0.3">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row>
    <row r="4" spans="1:115" x14ac:dyDescent="0.3">
      <c r="A4" s="388"/>
      <c r="B4" s="388"/>
      <c r="C4" s="389"/>
      <c r="D4" s="389"/>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N4" s="388"/>
      <c r="CO4" s="388"/>
      <c r="CP4" s="388"/>
      <c r="CQ4" s="388"/>
      <c r="CR4" s="388"/>
      <c r="CS4" s="388"/>
      <c r="CT4" s="388"/>
      <c r="CU4" s="388"/>
      <c r="CV4" s="388"/>
      <c r="CW4" s="388"/>
      <c r="CX4" s="388"/>
      <c r="CY4" s="388"/>
      <c r="CZ4" s="388"/>
      <c r="DA4" s="388"/>
      <c r="DB4" s="388"/>
      <c r="DC4" s="388"/>
      <c r="DD4" s="388"/>
      <c r="DE4" s="388"/>
      <c r="DF4" s="388"/>
      <c r="DG4" s="388"/>
    </row>
    <row r="5" spans="1:115" x14ac:dyDescent="0.3">
      <c r="A5" s="388"/>
      <c r="B5" s="388"/>
      <c r="D5" s="389"/>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row>
    <row r="6" spans="1:115" x14ac:dyDescent="0.3">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row>
    <row r="7" spans="1:115" ht="15" customHeight="1" x14ac:dyDescent="0.3">
      <c r="A7" s="388"/>
      <c r="B7" s="388"/>
      <c r="C7" s="390" t="s">
        <v>321</v>
      </c>
      <c r="D7" s="391"/>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8"/>
      <c r="DG7" s="388"/>
    </row>
    <row r="8" spans="1:115" x14ac:dyDescent="0.3">
      <c r="A8" s="388"/>
      <c r="B8" s="388"/>
      <c r="C8" s="392"/>
      <c r="D8" s="388"/>
      <c r="E8" s="393"/>
      <c r="F8" s="394"/>
      <c r="G8" s="395"/>
      <c r="H8" s="691" t="s">
        <v>3</v>
      </c>
      <c r="I8" s="691"/>
      <c r="J8" s="691"/>
      <c r="K8" s="691"/>
      <c r="L8" s="691"/>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18"/>
      <c r="AZ8" s="718"/>
      <c r="BA8" s="718"/>
      <c r="BB8" s="718"/>
      <c r="BC8" s="718"/>
      <c r="BD8" s="718"/>
      <c r="BE8" s="718"/>
      <c r="BF8" s="718"/>
      <c r="BG8" s="718"/>
      <c r="BH8" s="718"/>
      <c r="BI8" s="718"/>
      <c r="BJ8" s="718"/>
      <c r="BK8" s="718"/>
      <c r="BL8" s="718"/>
      <c r="BM8" s="718"/>
      <c r="BN8" s="718"/>
      <c r="BO8" s="718"/>
      <c r="BP8" s="718"/>
      <c r="BQ8" s="718"/>
      <c r="BR8" s="718"/>
      <c r="BS8" s="718"/>
      <c r="BT8" s="718"/>
      <c r="BU8" s="718"/>
      <c r="BV8" s="396"/>
      <c r="BW8" s="396"/>
      <c r="BX8" s="691"/>
      <c r="BY8" s="691"/>
      <c r="BZ8" s="691"/>
      <c r="CA8" s="691"/>
      <c r="CB8" s="691"/>
      <c r="CC8" s="691"/>
      <c r="CD8" s="691"/>
      <c r="CE8" s="691"/>
      <c r="CF8" s="691"/>
      <c r="CG8" s="691"/>
      <c r="CH8" s="691"/>
      <c r="CI8" s="691"/>
      <c r="CJ8" s="691"/>
      <c r="CK8" s="691"/>
      <c r="CL8" s="691"/>
      <c r="CM8" s="691"/>
      <c r="CN8" s="691"/>
      <c r="CO8" s="691"/>
      <c r="CP8" s="691"/>
      <c r="CQ8" s="691"/>
      <c r="CR8" s="691"/>
      <c r="CS8" s="691"/>
      <c r="CT8" s="691"/>
      <c r="CU8" s="691"/>
      <c r="CV8" s="691"/>
      <c r="CW8" s="691"/>
      <c r="CX8" s="691"/>
      <c r="CY8" s="691"/>
      <c r="CZ8" s="691"/>
      <c r="DA8" s="691"/>
      <c r="DB8" s="691"/>
      <c r="DC8" s="691"/>
      <c r="DD8" s="691"/>
      <c r="DE8" s="691"/>
      <c r="DF8" s="691"/>
      <c r="DG8" s="398"/>
    </row>
    <row r="9" spans="1:115" ht="18" customHeight="1" x14ac:dyDescent="0.3">
      <c r="A9" s="388"/>
      <c r="B9" s="388"/>
      <c r="C9" s="398"/>
      <c r="D9" s="388"/>
      <c r="E9" s="203" t="s">
        <v>19</v>
      </c>
      <c r="F9" s="134"/>
      <c r="G9" s="119"/>
      <c r="H9" s="119" t="s">
        <v>4</v>
      </c>
      <c r="I9" s="119"/>
      <c r="J9" s="119"/>
      <c r="K9" s="134"/>
      <c r="L9" s="119"/>
      <c r="M9" s="119" t="s">
        <v>5</v>
      </c>
      <c r="N9" s="119"/>
      <c r="O9" s="119"/>
      <c r="P9" s="134"/>
      <c r="Q9" s="119"/>
      <c r="R9" s="119" t="s">
        <v>6</v>
      </c>
      <c r="S9" s="119"/>
      <c r="T9" s="119"/>
      <c r="U9" s="134"/>
      <c r="V9" s="119"/>
      <c r="W9" s="119" t="s">
        <v>7</v>
      </c>
      <c r="X9" s="119"/>
      <c r="Y9" s="119"/>
      <c r="Z9" s="134"/>
      <c r="AA9" s="119"/>
      <c r="AB9" s="119" t="s">
        <v>8</v>
      </c>
      <c r="AC9" s="119"/>
      <c r="AD9" s="119"/>
      <c r="AE9" s="134"/>
      <c r="AF9" s="119"/>
      <c r="AG9" s="119" t="s">
        <v>9</v>
      </c>
      <c r="AH9" s="119"/>
      <c r="AI9" s="119"/>
      <c r="AJ9" s="134"/>
      <c r="AK9" s="119"/>
      <c r="AL9" s="119" t="s">
        <v>10</v>
      </c>
      <c r="AM9" s="119"/>
      <c r="AN9" s="119"/>
      <c r="AO9" s="134"/>
      <c r="AP9" s="119"/>
      <c r="AQ9" s="119" t="s">
        <v>11</v>
      </c>
      <c r="AR9" s="119"/>
      <c r="AS9" s="119"/>
      <c r="AT9" s="134"/>
      <c r="AU9" s="119"/>
      <c r="AV9" s="119" t="s">
        <v>12</v>
      </c>
      <c r="AW9" s="119"/>
      <c r="AX9" s="119"/>
      <c r="AY9" s="134"/>
      <c r="AZ9" s="119"/>
      <c r="BA9" s="119" t="s">
        <v>13</v>
      </c>
      <c r="BB9" s="119"/>
      <c r="BC9" s="119"/>
      <c r="BD9" s="134"/>
      <c r="BE9" s="119"/>
      <c r="BF9" s="119" t="s">
        <v>14</v>
      </c>
      <c r="BG9" s="119"/>
      <c r="BH9" s="119"/>
      <c r="BI9" s="134"/>
      <c r="BJ9" s="119"/>
      <c r="BK9" s="119" t="s">
        <v>15</v>
      </c>
      <c r="BL9" s="119"/>
      <c r="BM9" s="119"/>
      <c r="BN9" s="134"/>
      <c r="BO9" s="119"/>
      <c r="BP9" s="119" t="s">
        <v>16</v>
      </c>
      <c r="BQ9" s="119"/>
      <c r="BR9" s="119"/>
      <c r="BS9" s="134"/>
      <c r="BT9" s="119"/>
      <c r="BU9" s="119" t="s">
        <v>17</v>
      </c>
      <c r="BV9" s="119"/>
      <c r="BW9" s="119"/>
      <c r="BX9" s="134"/>
      <c r="BY9" s="119"/>
      <c r="BZ9" s="119" t="s">
        <v>9</v>
      </c>
      <c r="CA9" s="119"/>
      <c r="CB9" s="119"/>
      <c r="CC9" s="134"/>
      <c r="CD9" s="119"/>
      <c r="CE9" s="119" t="s">
        <v>10</v>
      </c>
      <c r="CF9" s="119"/>
      <c r="CG9" s="119"/>
      <c r="CH9" s="134"/>
      <c r="CI9" s="119"/>
      <c r="CJ9" s="119" t="s">
        <v>11</v>
      </c>
      <c r="CK9" s="119"/>
      <c r="CL9" s="119"/>
      <c r="CM9" s="134"/>
      <c r="CN9" s="119"/>
      <c r="CO9" s="119" t="s">
        <v>12</v>
      </c>
      <c r="CP9" s="119"/>
      <c r="CQ9" s="119"/>
      <c r="CR9" s="134"/>
      <c r="CS9" s="119"/>
      <c r="CT9" s="119" t="s">
        <v>13</v>
      </c>
      <c r="CU9" s="119"/>
      <c r="CV9" s="119"/>
      <c r="CW9" s="134"/>
      <c r="CX9" s="119"/>
      <c r="CY9" s="119" t="s">
        <v>14</v>
      </c>
      <c r="CZ9" s="119"/>
      <c r="DA9" s="119"/>
      <c r="DB9" s="134"/>
      <c r="DC9" s="119"/>
      <c r="DD9" s="119" t="s">
        <v>15</v>
      </c>
      <c r="DE9" s="119"/>
      <c r="DF9" s="119"/>
      <c r="DG9" s="398"/>
    </row>
    <row r="10" spans="1:115" ht="14.25" customHeight="1" x14ac:dyDescent="0.3">
      <c r="A10" s="388"/>
      <c r="B10" s="388"/>
      <c r="C10" s="399" t="s">
        <v>18</v>
      </c>
      <c r="D10" s="400"/>
      <c r="E10" s="180"/>
      <c r="F10" s="401"/>
      <c r="G10" s="402"/>
      <c r="H10" s="402" t="s">
        <v>20</v>
      </c>
      <c r="I10" s="402"/>
      <c r="J10" s="402"/>
      <c r="K10" s="401"/>
      <c r="L10" s="402"/>
      <c r="M10" s="402"/>
      <c r="N10" s="402"/>
      <c r="O10" s="402"/>
      <c r="P10" s="401"/>
      <c r="Q10" s="402"/>
      <c r="R10" s="402"/>
      <c r="S10" s="402"/>
      <c r="T10" s="402"/>
      <c r="U10" s="401"/>
      <c r="V10" s="402"/>
      <c r="W10" s="402"/>
      <c r="X10" s="402"/>
      <c r="Y10" s="402"/>
      <c r="Z10" s="401"/>
      <c r="AA10" s="402"/>
      <c r="AB10" s="402"/>
      <c r="AC10" s="402"/>
      <c r="AD10" s="402"/>
      <c r="AE10" s="401"/>
      <c r="AF10" s="402"/>
      <c r="AG10" s="402"/>
      <c r="AH10" s="402"/>
      <c r="AI10" s="402"/>
      <c r="AJ10" s="401"/>
      <c r="AK10" s="402"/>
      <c r="AL10" s="402"/>
      <c r="AM10" s="402"/>
      <c r="AN10" s="402"/>
      <c r="AO10" s="401"/>
      <c r="AP10" s="402"/>
      <c r="AQ10" s="402"/>
      <c r="AR10" s="402"/>
      <c r="AS10" s="402"/>
      <c r="AT10" s="401"/>
      <c r="AU10" s="402"/>
      <c r="AV10" s="402"/>
      <c r="AW10" s="402"/>
      <c r="AX10" s="402"/>
      <c r="AY10" s="401"/>
      <c r="AZ10" s="402"/>
      <c r="BA10" s="402"/>
      <c r="BB10" s="402"/>
      <c r="BC10" s="402"/>
      <c r="BD10" s="401"/>
      <c r="BE10" s="402"/>
      <c r="BF10" s="402"/>
      <c r="BG10" s="402"/>
      <c r="BH10" s="402"/>
      <c r="BI10" s="401"/>
      <c r="BJ10" s="402"/>
      <c r="BK10" s="402"/>
      <c r="BL10" s="402"/>
      <c r="BM10" s="402"/>
      <c r="BN10" s="401"/>
      <c r="BO10" s="402"/>
      <c r="BP10" s="402"/>
      <c r="BQ10" s="402"/>
      <c r="BR10" s="402"/>
      <c r="BS10" s="401"/>
      <c r="BT10" s="402"/>
      <c r="BU10" s="402"/>
      <c r="BV10" s="402"/>
      <c r="BW10" s="402"/>
      <c r="BX10" s="401"/>
      <c r="BY10" s="402"/>
      <c r="BZ10" s="402"/>
      <c r="CA10" s="402"/>
      <c r="CB10" s="402"/>
      <c r="CC10" s="401"/>
      <c r="CD10" s="402"/>
      <c r="CE10" s="402"/>
      <c r="CF10" s="402"/>
      <c r="CG10" s="402"/>
      <c r="CH10" s="401"/>
      <c r="CI10" s="402"/>
      <c r="CJ10" s="402"/>
      <c r="CK10" s="402"/>
      <c r="CL10" s="402"/>
      <c r="CM10" s="401"/>
      <c r="CN10" s="402"/>
      <c r="CO10" s="402"/>
      <c r="CP10" s="402"/>
      <c r="CQ10" s="402"/>
      <c r="CR10" s="401"/>
      <c r="CS10" s="402"/>
      <c r="CT10" s="402"/>
      <c r="CU10" s="402"/>
      <c r="CV10" s="402"/>
      <c r="CW10" s="401"/>
      <c r="CX10" s="402"/>
      <c r="CY10" s="402"/>
      <c r="CZ10" s="402"/>
      <c r="DA10" s="402"/>
      <c r="DB10" s="401"/>
      <c r="DC10" s="402"/>
      <c r="DD10" s="402"/>
      <c r="DE10" s="402"/>
      <c r="DF10" s="402"/>
      <c r="DG10" s="398"/>
    </row>
    <row r="11" spans="1:115" x14ac:dyDescent="0.3">
      <c r="A11" s="388"/>
      <c r="B11" s="388"/>
      <c r="C11" s="398"/>
      <c r="D11" s="388"/>
      <c r="E11" s="403"/>
      <c r="F11" s="404"/>
      <c r="G11" s="388"/>
      <c r="H11" s="388"/>
      <c r="I11" s="388"/>
      <c r="J11" s="388"/>
      <c r="K11" s="404"/>
      <c r="L11" s="388"/>
      <c r="M11" s="388"/>
      <c r="N11" s="388"/>
      <c r="O11" s="388"/>
      <c r="P11" s="404"/>
      <c r="Q11" s="388"/>
      <c r="R11" s="388"/>
      <c r="S11" s="388"/>
      <c r="T11" s="388"/>
      <c r="U11" s="404"/>
      <c r="V11" s="388"/>
      <c r="W11" s="388"/>
      <c r="X11" s="388"/>
      <c r="Y11" s="388"/>
      <c r="Z11" s="404"/>
      <c r="AA11" s="388"/>
      <c r="AB11" s="388"/>
      <c r="AC11" s="388"/>
      <c r="AD11" s="388"/>
      <c r="AE11" s="404"/>
      <c r="AF11" s="388"/>
      <c r="AG11" s="388"/>
      <c r="AH11" s="388"/>
      <c r="AI11" s="388"/>
      <c r="AJ11" s="404"/>
      <c r="AK11" s="388"/>
      <c r="AL11" s="388"/>
      <c r="AM11" s="388"/>
      <c r="AN11" s="388"/>
      <c r="AO11" s="404"/>
      <c r="AP11" s="388"/>
      <c r="AQ11" s="388"/>
      <c r="AR11" s="388"/>
      <c r="AS11" s="388"/>
      <c r="AT11" s="404"/>
      <c r="AU11" s="388"/>
      <c r="AV11" s="388"/>
      <c r="AW11" s="388"/>
      <c r="AX11" s="388"/>
      <c r="AY11" s="404"/>
      <c r="AZ11" s="388"/>
      <c r="BA11" s="388"/>
      <c r="BB11" s="388"/>
      <c r="BC11" s="388"/>
      <c r="BD11" s="404"/>
      <c r="BE11" s="388"/>
      <c r="BF11" s="388"/>
      <c r="BG11" s="388"/>
      <c r="BH11" s="388"/>
      <c r="BI11" s="404"/>
      <c r="BJ11" s="388"/>
      <c r="BK11" s="388"/>
      <c r="BL11" s="388"/>
      <c r="BM11" s="388"/>
      <c r="BN11" s="404"/>
      <c r="BO11" s="388"/>
      <c r="BP11" s="388"/>
      <c r="BQ11" s="388"/>
      <c r="BR11" s="388"/>
      <c r="BS11" s="404"/>
      <c r="BT11" s="388"/>
      <c r="BU11" s="388"/>
      <c r="BV11" s="388"/>
      <c r="BW11" s="388"/>
      <c r="BX11" s="404"/>
      <c r="BY11" s="388"/>
      <c r="BZ11" s="388"/>
      <c r="CA11" s="388"/>
      <c r="CB11" s="388"/>
      <c r="CC11" s="404"/>
      <c r="CD11" s="388"/>
      <c r="CE11" s="388"/>
      <c r="CF11" s="388"/>
      <c r="CG11" s="388"/>
      <c r="CH11" s="404"/>
      <c r="CI11" s="388"/>
      <c r="CJ11" s="388"/>
      <c r="CK11" s="388"/>
      <c r="CL11" s="388"/>
      <c r="CM11" s="404"/>
      <c r="CN11" s="388"/>
      <c r="CO11" s="388"/>
      <c r="CP11" s="388"/>
      <c r="CQ11" s="388"/>
      <c r="CR11" s="404"/>
      <c r="CS11" s="388"/>
      <c r="CT11" s="388"/>
      <c r="CU11" s="388"/>
      <c r="CV11" s="388"/>
      <c r="CW11" s="404"/>
      <c r="CX11" s="388"/>
      <c r="CY11" s="388"/>
      <c r="CZ11" s="388"/>
      <c r="DA11" s="388"/>
      <c r="DB11" s="404"/>
      <c r="DC11" s="388"/>
      <c r="DD11" s="388"/>
      <c r="DE11" s="388"/>
      <c r="DF11" s="388"/>
      <c r="DG11" s="398"/>
    </row>
    <row r="12" spans="1:115" x14ac:dyDescent="0.3">
      <c r="A12" s="388"/>
      <c r="B12" s="388"/>
      <c r="C12" s="398"/>
      <c r="D12" s="388"/>
      <c r="E12" s="403"/>
      <c r="F12" s="404"/>
      <c r="G12" s="388"/>
      <c r="H12" s="388"/>
      <c r="I12" s="388"/>
      <c r="J12" s="388"/>
      <c r="K12" s="404"/>
      <c r="L12" s="388"/>
      <c r="M12" s="388"/>
      <c r="N12" s="388"/>
      <c r="O12" s="388"/>
      <c r="P12" s="404"/>
      <c r="Q12" s="388"/>
      <c r="R12" s="388"/>
      <c r="S12" s="388"/>
      <c r="T12" s="388"/>
      <c r="U12" s="404"/>
      <c r="V12" s="388"/>
      <c r="W12" s="388"/>
      <c r="X12" s="388"/>
      <c r="Y12" s="388"/>
      <c r="Z12" s="404"/>
      <c r="AA12" s="388"/>
      <c r="AB12" s="388"/>
      <c r="AC12" s="388"/>
      <c r="AD12" s="388"/>
      <c r="AE12" s="404"/>
      <c r="AF12" s="388"/>
      <c r="AG12" s="388"/>
      <c r="AH12" s="388"/>
      <c r="AI12" s="388"/>
      <c r="AJ12" s="404"/>
      <c r="AK12" s="388"/>
      <c r="AL12" s="388"/>
      <c r="AM12" s="388"/>
      <c r="AN12" s="388"/>
      <c r="AO12" s="404"/>
      <c r="AP12" s="388"/>
      <c r="AQ12" s="388"/>
      <c r="AR12" s="388"/>
      <c r="AS12" s="388"/>
      <c r="AT12" s="404"/>
      <c r="AU12" s="388"/>
      <c r="AV12" s="388"/>
      <c r="AW12" s="388"/>
      <c r="AX12" s="388"/>
      <c r="AY12" s="404"/>
      <c r="AZ12" s="388"/>
      <c r="BA12" s="388"/>
      <c r="BB12" s="388"/>
      <c r="BC12" s="388"/>
      <c r="BD12" s="404"/>
      <c r="BE12" s="388"/>
      <c r="BF12" s="388"/>
      <c r="BG12" s="388"/>
      <c r="BH12" s="388"/>
      <c r="BI12" s="404"/>
      <c r="BJ12" s="388"/>
      <c r="BK12" s="388"/>
      <c r="BL12" s="388"/>
      <c r="BM12" s="388"/>
      <c r="BN12" s="404"/>
      <c r="BO12" s="388"/>
      <c r="BP12" s="388"/>
      <c r="BQ12" s="388"/>
      <c r="BR12" s="388"/>
      <c r="BS12" s="404"/>
      <c r="BT12" s="388"/>
      <c r="BU12" s="388"/>
      <c r="BV12" s="388"/>
      <c r="BW12" s="388"/>
      <c r="BX12" s="404"/>
      <c r="BY12" s="388"/>
      <c r="BZ12" s="388"/>
      <c r="CA12" s="388"/>
      <c r="CB12" s="388"/>
      <c r="CC12" s="404"/>
      <c r="CD12" s="388"/>
      <c r="CE12" s="388"/>
      <c r="CF12" s="388"/>
      <c r="CG12" s="388"/>
      <c r="CH12" s="404"/>
      <c r="CI12" s="388"/>
      <c r="CJ12" s="388"/>
      <c r="CK12" s="388"/>
      <c r="CL12" s="388"/>
      <c r="CM12" s="404"/>
      <c r="CN12" s="388"/>
      <c r="CO12" s="388"/>
      <c r="CP12" s="388"/>
      <c r="CQ12" s="388"/>
      <c r="CR12" s="404"/>
      <c r="CS12" s="388"/>
      <c r="CT12" s="388"/>
      <c r="CU12" s="388"/>
      <c r="CV12" s="388"/>
      <c r="CW12" s="404"/>
      <c r="CX12" s="388"/>
      <c r="CY12" s="388"/>
      <c r="CZ12" s="388"/>
      <c r="DA12" s="388"/>
      <c r="DB12" s="404"/>
      <c r="DC12" s="388"/>
      <c r="DD12" s="388"/>
      <c r="DE12" s="388"/>
      <c r="DF12" s="388"/>
      <c r="DG12" s="398"/>
    </row>
    <row r="13" spans="1:115" s="411" customFormat="1" x14ac:dyDescent="0.3">
      <c r="A13" s="389"/>
      <c r="B13" s="389"/>
      <c r="C13" s="405" t="s">
        <v>37</v>
      </c>
      <c r="D13" s="389"/>
      <c r="E13" s="406"/>
      <c r="F13" s="407"/>
      <c r="G13" s="389"/>
      <c r="H13" s="389">
        <f>+H14+H21</f>
        <v>97183520</v>
      </c>
      <c r="I13" s="389"/>
      <c r="J13" s="389"/>
      <c r="K13" s="407"/>
      <c r="L13" s="389"/>
      <c r="M13" s="408">
        <f>+M14+M21</f>
        <v>37582688</v>
      </c>
      <c r="N13" s="389"/>
      <c r="O13" s="389"/>
      <c r="P13" s="407"/>
      <c r="Q13" s="389"/>
      <c r="R13" s="408">
        <f>+R14+R21</f>
        <v>16125619</v>
      </c>
      <c r="S13" s="389"/>
      <c r="T13" s="389"/>
      <c r="U13" s="407"/>
      <c r="V13" s="389"/>
      <c r="W13" s="408">
        <f>+W14+W21</f>
        <v>11567828</v>
      </c>
      <c r="X13" s="389"/>
      <c r="Y13" s="389"/>
      <c r="Z13" s="407"/>
      <c r="AA13" s="389"/>
      <c r="AB13" s="408">
        <f>+AB14+AB21</f>
        <v>26289577</v>
      </c>
      <c r="AC13" s="389"/>
      <c r="AD13" s="389"/>
      <c r="AE13" s="407"/>
      <c r="AF13" s="389"/>
      <c r="AG13" s="408">
        <f>+AG14+AG21</f>
        <v>-5974831</v>
      </c>
      <c r="AH13" s="389"/>
      <c r="AI13" s="389"/>
      <c r="AJ13" s="407"/>
      <c r="AK13" s="389"/>
      <c r="AL13" s="408">
        <f>+AL14+AL21</f>
        <v>1315362</v>
      </c>
      <c r="AM13" s="389"/>
      <c r="AN13" s="389"/>
      <c r="AO13" s="407"/>
      <c r="AP13" s="389"/>
      <c r="AQ13" s="408">
        <f>+AQ14+AQ21</f>
        <v>31098565</v>
      </c>
      <c r="AR13" s="389"/>
      <c r="AS13" s="389"/>
      <c r="AT13" s="407"/>
      <c r="AU13" s="389"/>
      <c r="AV13" s="408">
        <f>+AV14+AV21</f>
        <v>295423</v>
      </c>
      <c r="AW13" s="389"/>
      <c r="AX13" s="389"/>
      <c r="AY13" s="407"/>
      <c r="AZ13" s="389"/>
      <c r="BA13" s="408">
        <f>+BA14+BA21</f>
        <v>-33015782</v>
      </c>
      <c r="BB13" s="389"/>
      <c r="BC13" s="389"/>
      <c r="BD13" s="407"/>
      <c r="BE13" s="389"/>
      <c r="BF13" s="408">
        <f>+BF14+BF21</f>
        <v>15701292</v>
      </c>
      <c r="BG13" s="389"/>
      <c r="BH13" s="389"/>
      <c r="BI13" s="407"/>
      <c r="BJ13" s="389"/>
      <c r="BK13" s="408">
        <f>+BK14+BK21</f>
        <v>-13560314</v>
      </c>
      <c r="BL13" s="408"/>
      <c r="BM13" s="408"/>
      <c r="BN13" s="409"/>
      <c r="BO13" s="408"/>
      <c r="BP13" s="408">
        <f>+BP14+BP21</f>
        <v>7899997</v>
      </c>
      <c r="BQ13" s="389"/>
      <c r="BR13" s="389"/>
      <c r="BS13" s="407"/>
      <c r="BT13" s="389"/>
      <c r="BU13" s="389">
        <f>+BU14+BU21</f>
        <v>95325424</v>
      </c>
      <c r="BV13" s="389"/>
      <c r="BW13" s="389"/>
      <c r="BX13" s="407"/>
      <c r="BY13" s="389"/>
      <c r="BZ13" s="408">
        <f>+BZ14+BZ21</f>
        <v>10613091</v>
      </c>
      <c r="CA13" s="389"/>
      <c r="CB13" s="389"/>
      <c r="CC13" s="407"/>
      <c r="CD13" s="389"/>
      <c r="CE13" s="408">
        <f>+CE14+CE21</f>
        <v>-17323880</v>
      </c>
      <c r="CF13" s="389"/>
      <c r="CG13" s="389"/>
      <c r="CH13" s="407"/>
      <c r="CI13" s="389"/>
      <c r="CJ13" s="408">
        <f>+CJ14+CJ21</f>
        <v>7778423</v>
      </c>
      <c r="CK13" s="389"/>
      <c r="CL13" s="389"/>
      <c r="CM13" s="407"/>
      <c r="CN13" s="389"/>
      <c r="CO13" s="408">
        <f>+CO14+CO21</f>
        <v>6126860</v>
      </c>
      <c r="CP13" s="389"/>
      <c r="CQ13" s="389"/>
      <c r="CR13" s="407"/>
      <c r="CS13" s="389"/>
      <c r="CT13" s="408">
        <f>+CT14+CT21</f>
        <v>-16508019</v>
      </c>
      <c r="CU13" s="389"/>
      <c r="CV13" s="389"/>
      <c r="CW13" s="407"/>
      <c r="CX13" s="389"/>
      <c r="CY13" s="408">
        <f>+CY14+CY21</f>
        <v>13250851</v>
      </c>
      <c r="CZ13" s="389"/>
      <c r="DA13" s="389"/>
      <c r="DB13" s="407"/>
      <c r="DC13" s="389"/>
      <c r="DD13" s="408">
        <f>+DD14+DD21</f>
        <v>-2500139</v>
      </c>
      <c r="DE13" s="408"/>
      <c r="DF13" s="408"/>
      <c r="DG13" s="405"/>
      <c r="DH13" s="389"/>
      <c r="DK13" s="411" t="e">
        <f>#REF!-#REF!</f>
        <v>#REF!</v>
      </c>
    </row>
    <row r="14" spans="1:115" x14ac:dyDescent="0.3">
      <c r="A14" s="388"/>
      <c r="B14" s="388"/>
      <c r="C14" s="398" t="s">
        <v>322</v>
      </c>
      <c r="D14" s="388"/>
      <c r="E14" s="403"/>
      <c r="F14" s="404"/>
      <c r="G14" s="412"/>
      <c r="H14" s="413">
        <f>SUM(H15:H19)</f>
        <v>124538520</v>
      </c>
      <c r="I14" s="414"/>
      <c r="J14" s="388"/>
      <c r="K14" s="404"/>
      <c r="L14" s="412"/>
      <c r="M14" s="415">
        <f>SUM(M15:M19)</f>
        <v>3561000</v>
      </c>
      <c r="N14" s="414"/>
      <c r="O14" s="388"/>
      <c r="P14" s="404"/>
      <c r="Q14" s="412"/>
      <c r="R14" s="415">
        <f>SUM(R15:R19)</f>
        <v>10247350</v>
      </c>
      <c r="S14" s="414"/>
      <c r="T14" s="388"/>
      <c r="U14" s="404"/>
      <c r="V14" s="412"/>
      <c r="W14" s="415">
        <f>SUM(W15:W19)</f>
        <v>11808200</v>
      </c>
      <c r="X14" s="414"/>
      <c r="Y14" s="388"/>
      <c r="Z14" s="404"/>
      <c r="AA14" s="412"/>
      <c r="AB14" s="415">
        <f>SUM(AB15:AB19)</f>
        <v>16584620</v>
      </c>
      <c r="AC14" s="414"/>
      <c r="AD14" s="388"/>
      <c r="AE14" s="404"/>
      <c r="AF14" s="412"/>
      <c r="AG14" s="415">
        <f>SUM(AG15:AG19)</f>
        <v>12547400</v>
      </c>
      <c r="AH14" s="414"/>
      <c r="AI14" s="388"/>
      <c r="AJ14" s="404"/>
      <c r="AK14" s="412"/>
      <c r="AL14" s="415">
        <f>SUM(AL15:AL19)</f>
        <v>17988450</v>
      </c>
      <c r="AM14" s="414"/>
      <c r="AN14" s="388"/>
      <c r="AO14" s="404"/>
      <c r="AP14" s="412"/>
      <c r="AQ14" s="415">
        <f>SUM(AQ15:AQ19)</f>
        <v>12270800</v>
      </c>
      <c r="AR14" s="414"/>
      <c r="AS14" s="388"/>
      <c r="AT14" s="404"/>
      <c r="AU14" s="412"/>
      <c r="AV14" s="415">
        <f>SUM(AV15:AV19)</f>
        <v>9515730</v>
      </c>
      <c r="AW14" s="414"/>
      <c r="AX14" s="388"/>
      <c r="AY14" s="404"/>
      <c r="AZ14" s="412"/>
      <c r="BA14" s="415">
        <f>SUM(BA15:BA19)</f>
        <v>517060</v>
      </c>
      <c r="BB14" s="414"/>
      <c r="BC14" s="388"/>
      <c r="BD14" s="404"/>
      <c r="BE14" s="412"/>
      <c r="BF14" s="415">
        <f>SUM(BF15:BF19)</f>
        <v>8378430</v>
      </c>
      <c r="BG14" s="414"/>
      <c r="BH14" s="388"/>
      <c r="BI14" s="404"/>
      <c r="BJ14" s="412"/>
      <c r="BK14" s="415">
        <f>SUM(BK15:BK19)</f>
        <v>9552390</v>
      </c>
      <c r="BL14" s="414"/>
      <c r="BM14" s="388"/>
      <c r="BN14" s="404"/>
      <c r="BO14" s="412"/>
      <c r="BP14" s="416">
        <f>SUM(BP15:BP19)</f>
        <v>9638830</v>
      </c>
      <c r="BQ14" s="414"/>
      <c r="BR14" s="388"/>
      <c r="BS14" s="404"/>
      <c r="BT14" s="412"/>
      <c r="BU14" s="413">
        <f>SUM(BU15:BU19)</f>
        <v>122610260</v>
      </c>
      <c r="BV14" s="414"/>
      <c r="BW14" s="388"/>
      <c r="BX14" s="404"/>
      <c r="BY14" s="412"/>
      <c r="BZ14" s="415">
        <f>SUM(BZ15:BZ19)</f>
        <v>6693000</v>
      </c>
      <c r="CA14" s="414"/>
      <c r="CB14" s="388"/>
      <c r="CC14" s="404"/>
      <c r="CD14" s="412"/>
      <c r="CE14" s="415">
        <f>SUM(CE15:CE19)</f>
        <v>7998300</v>
      </c>
      <c r="CF14" s="414"/>
      <c r="CG14" s="388"/>
      <c r="CH14" s="404"/>
      <c r="CI14" s="412"/>
      <c r="CJ14" s="415">
        <f>SUM(CJ15:CJ19)</f>
        <v>3752730</v>
      </c>
      <c r="CK14" s="414"/>
      <c r="CL14" s="388"/>
      <c r="CM14" s="404"/>
      <c r="CN14" s="412"/>
      <c r="CO14" s="415">
        <f>SUM(CO15:CO19)</f>
        <v>1301000</v>
      </c>
      <c r="CP14" s="414"/>
      <c r="CQ14" s="388"/>
      <c r="CR14" s="404"/>
      <c r="CS14" s="412"/>
      <c r="CT14" s="415">
        <f>SUM(CT15:CT19)</f>
        <v>-6212410</v>
      </c>
      <c r="CU14" s="414"/>
      <c r="CV14" s="388"/>
      <c r="CW14" s="404"/>
      <c r="CX14" s="412"/>
      <c r="CY14" s="415">
        <f>SUM(CY15:CY19)</f>
        <v>-8057160</v>
      </c>
      <c r="CZ14" s="414"/>
      <c r="DA14" s="388"/>
      <c r="DB14" s="404"/>
      <c r="DC14" s="412"/>
      <c r="DD14" s="415">
        <f>SUM(DD15:DD19)</f>
        <v>-9474050</v>
      </c>
      <c r="DE14" s="414"/>
      <c r="DF14" s="388"/>
      <c r="DG14" s="398"/>
      <c r="DJ14" s="411"/>
      <c r="DK14" s="411" t="e">
        <f>#REF!-#REF!</f>
        <v>#REF!</v>
      </c>
    </row>
    <row r="15" spans="1:115" hidden="1" x14ac:dyDescent="0.3">
      <c r="A15" s="388"/>
      <c r="B15" s="388"/>
      <c r="C15" s="238" t="s">
        <v>323</v>
      </c>
      <c r="D15" s="239"/>
      <c r="E15" s="403"/>
      <c r="F15" s="404"/>
      <c r="G15" s="404"/>
      <c r="H15" s="418">
        <v>0</v>
      </c>
      <c r="I15" s="419"/>
      <c r="J15" s="388"/>
      <c r="K15" s="404"/>
      <c r="L15" s="404"/>
      <c r="M15" s="420">
        <v>0</v>
      </c>
      <c r="N15" s="419"/>
      <c r="O15" s="388"/>
      <c r="P15" s="404"/>
      <c r="Q15" s="404"/>
      <c r="R15" s="420">
        <v>0</v>
      </c>
      <c r="S15" s="419"/>
      <c r="T15" s="388"/>
      <c r="U15" s="404"/>
      <c r="V15" s="404"/>
      <c r="W15" s="420">
        <v>0</v>
      </c>
      <c r="X15" s="419"/>
      <c r="Y15" s="388"/>
      <c r="Z15" s="404"/>
      <c r="AA15" s="404"/>
      <c r="AB15" s="420">
        <v>0</v>
      </c>
      <c r="AC15" s="419"/>
      <c r="AD15" s="388"/>
      <c r="AE15" s="404"/>
      <c r="AF15" s="404"/>
      <c r="AG15" s="420">
        <v>0</v>
      </c>
      <c r="AH15" s="419"/>
      <c r="AI15" s="388"/>
      <c r="AJ15" s="404"/>
      <c r="AK15" s="404"/>
      <c r="AL15" s="420">
        <v>0</v>
      </c>
      <c r="AM15" s="419"/>
      <c r="AN15" s="388"/>
      <c r="AO15" s="404"/>
      <c r="AP15" s="404"/>
      <c r="AQ15" s="420">
        <v>0</v>
      </c>
      <c r="AR15" s="419"/>
      <c r="AS15" s="388"/>
      <c r="AT15" s="404"/>
      <c r="AU15" s="404"/>
      <c r="AV15" s="420">
        <v>0</v>
      </c>
      <c r="AW15" s="419"/>
      <c r="AX15" s="388"/>
      <c r="AY15" s="404"/>
      <c r="AZ15" s="404"/>
      <c r="BA15" s="420">
        <v>0</v>
      </c>
      <c r="BB15" s="419"/>
      <c r="BC15" s="388"/>
      <c r="BD15" s="404"/>
      <c r="BE15" s="404"/>
      <c r="BF15" s="420">
        <v>0</v>
      </c>
      <c r="BG15" s="419"/>
      <c r="BH15" s="388"/>
      <c r="BI15" s="404"/>
      <c r="BJ15" s="404"/>
      <c r="BK15" s="420">
        <v>0</v>
      </c>
      <c r="BL15" s="419"/>
      <c r="BM15" s="388"/>
      <c r="BN15" s="404"/>
      <c r="BO15" s="404"/>
      <c r="BP15" s="420">
        <v>0</v>
      </c>
      <c r="BQ15" s="419"/>
      <c r="BR15" s="388"/>
      <c r="BS15" s="404"/>
      <c r="BT15" s="404"/>
      <c r="BU15" s="420">
        <f>SUM(M15:BP15)</f>
        <v>0</v>
      </c>
      <c r="BV15" s="419"/>
      <c r="BW15" s="388"/>
      <c r="BX15" s="404"/>
      <c r="BY15" s="404"/>
      <c r="BZ15" s="420">
        <v>0</v>
      </c>
      <c r="CA15" s="419"/>
      <c r="CB15" s="388"/>
      <c r="CC15" s="404"/>
      <c r="CD15" s="404"/>
      <c r="CE15" s="420">
        <v>0</v>
      </c>
      <c r="CF15" s="419"/>
      <c r="CG15" s="388"/>
      <c r="CH15" s="404"/>
      <c r="CI15" s="404"/>
      <c r="CJ15" s="420">
        <v>0</v>
      </c>
      <c r="CK15" s="419"/>
      <c r="CL15" s="388"/>
      <c r="CM15" s="404"/>
      <c r="CN15" s="404"/>
      <c r="CO15" s="420">
        <v>0</v>
      </c>
      <c r="CP15" s="419"/>
      <c r="CQ15" s="388"/>
      <c r="CR15" s="404"/>
      <c r="CS15" s="404"/>
      <c r="CT15" s="420">
        <v>0</v>
      </c>
      <c r="CU15" s="419"/>
      <c r="CV15" s="388"/>
      <c r="CW15" s="404"/>
      <c r="CX15" s="404"/>
      <c r="CY15" s="420">
        <v>0</v>
      </c>
      <c r="CZ15" s="419"/>
      <c r="DA15" s="388"/>
      <c r="DB15" s="404"/>
      <c r="DC15" s="404"/>
      <c r="DD15" s="420">
        <v>0</v>
      </c>
      <c r="DE15" s="419"/>
      <c r="DF15" s="388"/>
      <c r="DG15" s="398"/>
      <c r="DJ15" s="411"/>
      <c r="DK15" s="411" t="e">
        <f>#REF!-#REF!</f>
        <v>#REF!</v>
      </c>
    </row>
    <row r="16" spans="1:115" x14ac:dyDescent="0.3">
      <c r="A16" s="388"/>
      <c r="B16" s="388"/>
      <c r="C16" s="238" t="s">
        <v>324</v>
      </c>
      <c r="D16" s="239"/>
      <c r="E16" s="403"/>
      <c r="F16" s="404"/>
      <c r="G16" s="404"/>
      <c r="H16" s="418">
        <v>7101850</v>
      </c>
      <c r="I16" s="419"/>
      <c r="J16" s="388"/>
      <c r="K16" s="404"/>
      <c r="L16" s="404"/>
      <c r="M16" s="420">
        <v>1151700</v>
      </c>
      <c r="N16" s="419"/>
      <c r="O16" s="388"/>
      <c r="P16" s="404"/>
      <c r="Q16" s="404"/>
      <c r="R16" s="420">
        <v>3396850</v>
      </c>
      <c r="S16" s="419"/>
      <c r="T16" s="388"/>
      <c r="U16" s="404"/>
      <c r="V16" s="404"/>
      <c r="W16" s="420">
        <v>3277100</v>
      </c>
      <c r="X16" s="419"/>
      <c r="Y16" s="388"/>
      <c r="Z16" s="404"/>
      <c r="AA16" s="404"/>
      <c r="AB16" s="420">
        <v>1390400</v>
      </c>
      <c r="AC16" s="419"/>
      <c r="AD16" s="388"/>
      <c r="AE16" s="404"/>
      <c r="AF16" s="404"/>
      <c r="AG16" s="420">
        <v>-727100</v>
      </c>
      <c r="AH16" s="419"/>
      <c r="AI16" s="388"/>
      <c r="AJ16" s="404"/>
      <c r="AK16" s="404"/>
      <c r="AL16" s="420">
        <v>-1077800</v>
      </c>
      <c r="AM16" s="419"/>
      <c r="AN16" s="388"/>
      <c r="AO16" s="404"/>
      <c r="AP16" s="404"/>
      <c r="AQ16" s="420">
        <v>187300</v>
      </c>
      <c r="AR16" s="419"/>
      <c r="AS16" s="388"/>
      <c r="AT16" s="404"/>
      <c r="AU16" s="404"/>
      <c r="AV16" s="420">
        <v>-426670</v>
      </c>
      <c r="AW16" s="419"/>
      <c r="AX16" s="388"/>
      <c r="AY16" s="404"/>
      <c r="AZ16" s="404"/>
      <c r="BA16" s="420">
        <v>-407000</v>
      </c>
      <c r="BB16" s="419"/>
      <c r="BC16" s="388"/>
      <c r="BD16" s="421"/>
      <c r="BE16" s="404"/>
      <c r="BF16" s="420">
        <v>-496600</v>
      </c>
      <c r="BG16" s="419"/>
      <c r="BH16" s="388"/>
      <c r="BI16" s="404"/>
      <c r="BJ16" s="404"/>
      <c r="BK16" s="420">
        <v>-27510</v>
      </c>
      <c r="BL16" s="419"/>
      <c r="BM16" s="388"/>
      <c r="BN16" s="404"/>
      <c r="BO16" s="404"/>
      <c r="BP16" s="421">
        <v>-1507320</v>
      </c>
      <c r="BQ16" s="419"/>
      <c r="BR16" s="388"/>
      <c r="BS16" s="404"/>
      <c r="BT16" s="404"/>
      <c r="BU16" s="420">
        <f>SUM(M16:BP16)</f>
        <v>4733350</v>
      </c>
      <c r="BV16" s="419"/>
      <c r="BW16" s="388"/>
      <c r="BX16" s="404"/>
      <c r="BY16" s="404"/>
      <c r="BZ16" s="420">
        <v>950000</v>
      </c>
      <c r="CA16" s="419"/>
      <c r="CB16" s="388"/>
      <c r="CC16" s="404"/>
      <c r="CD16" s="404"/>
      <c r="CE16" s="420">
        <v>2698800</v>
      </c>
      <c r="CF16" s="419"/>
      <c r="CG16" s="388"/>
      <c r="CH16" s="404"/>
      <c r="CI16" s="404"/>
      <c r="CJ16" s="420">
        <v>-3840070</v>
      </c>
      <c r="CK16" s="419"/>
      <c r="CL16" s="388"/>
      <c r="CM16" s="404"/>
      <c r="CN16" s="404"/>
      <c r="CO16" s="420">
        <v>-786900</v>
      </c>
      <c r="CP16" s="419"/>
      <c r="CQ16" s="388"/>
      <c r="CR16" s="404"/>
      <c r="CS16" s="404"/>
      <c r="CT16" s="420">
        <v>-4877810</v>
      </c>
      <c r="CU16" s="419"/>
      <c r="CV16" s="388"/>
      <c r="CW16" s="421"/>
      <c r="CX16" s="404"/>
      <c r="CY16" s="420">
        <v>-4546100</v>
      </c>
      <c r="CZ16" s="419"/>
      <c r="DA16" s="388"/>
      <c r="DB16" s="404"/>
      <c r="DC16" s="404"/>
      <c r="DD16" s="420">
        <v>-6099850</v>
      </c>
      <c r="DE16" s="419"/>
      <c r="DF16" s="388"/>
      <c r="DG16" s="398"/>
      <c r="DJ16" s="411"/>
      <c r="DK16" s="411" t="e">
        <f>#REF!-#REF!</f>
        <v>#REF!</v>
      </c>
    </row>
    <row r="17" spans="1:115" x14ac:dyDescent="0.3">
      <c r="A17" s="388"/>
      <c r="B17" s="388"/>
      <c r="C17" s="238" t="s">
        <v>325</v>
      </c>
      <c r="D17" s="239"/>
      <c r="E17" s="403"/>
      <c r="F17" s="404"/>
      <c r="G17" s="404"/>
      <c r="H17" s="422">
        <v>16026600</v>
      </c>
      <c r="I17" s="419"/>
      <c r="J17" s="388"/>
      <c r="K17" s="404"/>
      <c r="L17" s="404"/>
      <c r="M17" s="421">
        <v>-102350</v>
      </c>
      <c r="N17" s="419"/>
      <c r="O17" s="388"/>
      <c r="P17" s="404"/>
      <c r="Q17" s="404"/>
      <c r="R17" s="421">
        <v>4585900</v>
      </c>
      <c r="S17" s="419"/>
      <c r="T17" s="388"/>
      <c r="U17" s="404"/>
      <c r="V17" s="404"/>
      <c r="W17" s="421">
        <v>5164300</v>
      </c>
      <c r="X17" s="419"/>
      <c r="Y17" s="388"/>
      <c r="Z17" s="404"/>
      <c r="AA17" s="404"/>
      <c r="AB17" s="421">
        <v>4295800</v>
      </c>
      <c r="AC17" s="419"/>
      <c r="AD17" s="388"/>
      <c r="AE17" s="404"/>
      <c r="AF17" s="404"/>
      <c r="AG17" s="421">
        <v>4060000</v>
      </c>
      <c r="AH17" s="419"/>
      <c r="AI17" s="388"/>
      <c r="AJ17" s="404"/>
      <c r="AK17" s="404"/>
      <c r="AL17" s="421">
        <v>4689950</v>
      </c>
      <c r="AM17" s="419"/>
      <c r="AN17" s="388"/>
      <c r="AO17" s="404"/>
      <c r="AP17" s="404"/>
      <c r="AQ17" s="421">
        <v>1089600</v>
      </c>
      <c r="AR17" s="419"/>
      <c r="AS17" s="388"/>
      <c r="AT17" s="404"/>
      <c r="AU17" s="404"/>
      <c r="AV17" s="421">
        <v>-648800</v>
      </c>
      <c r="AW17" s="419"/>
      <c r="AX17" s="388"/>
      <c r="AY17" s="404"/>
      <c r="AZ17" s="404"/>
      <c r="BA17" s="421">
        <v>-7467800</v>
      </c>
      <c r="BB17" s="419"/>
      <c r="BC17" s="388"/>
      <c r="BD17" s="404"/>
      <c r="BE17" s="404"/>
      <c r="BF17" s="421">
        <v>0</v>
      </c>
      <c r="BG17" s="419"/>
      <c r="BH17" s="388"/>
      <c r="BI17" s="404"/>
      <c r="BJ17" s="404"/>
      <c r="BK17" s="421" t="s">
        <v>326</v>
      </c>
      <c r="BL17" s="419"/>
      <c r="BM17" s="388"/>
      <c r="BN17" s="404"/>
      <c r="BO17" s="404"/>
      <c r="BP17" s="421">
        <v>-2054100</v>
      </c>
      <c r="BQ17" s="419"/>
      <c r="BR17" s="388"/>
      <c r="BS17" s="404"/>
      <c r="BT17" s="404"/>
      <c r="BU17" s="421">
        <f>SUM(M17:BP17)</f>
        <v>13612500</v>
      </c>
      <c r="BV17" s="419"/>
      <c r="BW17" s="388"/>
      <c r="BX17" s="404"/>
      <c r="BY17" s="404"/>
      <c r="BZ17" s="421">
        <v>725000</v>
      </c>
      <c r="CA17" s="419"/>
      <c r="CB17" s="388"/>
      <c r="CC17" s="404"/>
      <c r="CD17" s="404"/>
      <c r="CE17" s="421">
        <v>2080000</v>
      </c>
      <c r="CF17" s="419"/>
      <c r="CG17" s="388"/>
      <c r="CH17" s="404"/>
      <c r="CI17" s="404"/>
      <c r="CJ17" s="421">
        <v>1107900</v>
      </c>
      <c r="CK17" s="419"/>
      <c r="CL17" s="388"/>
      <c r="CM17" s="404"/>
      <c r="CN17" s="404"/>
      <c r="CO17" s="421">
        <v>-2092100</v>
      </c>
      <c r="CP17" s="419"/>
      <c r="CQ17" s="388"/>
      <c r="CR17" s="404"/>
      <c r="CS17" s="404"/>
      <c r="CT17" s="421">
        <v>-2481300</v>
      </c>
      <c r="CU17" s="419"/>
      <c r="CV17" s="388"/>
      <c r="CW17" s="404"/>
      <c r="CX17" s="404"/>
      <c r="CY17" s="421">
        <v>-287500</v>
      </c>
      <c r="CZ17" s="419"/>
      <c r="DA17" s="388"/>
      <c r="DB17" s="404"/>
      <c r="DC17" s="404"/>
      <c r="DD17" s="421">
        <v>-1005000</v>
      </c>
      <c r="DE17" s="419"/>
      <c r="DF17" s="388"/>
      <c r="DG17" s="398"/>
      <c r="DJ17" s="411"/>
      <c r="DK17" s="411" t="e">
        <f>#REF!-#REF!</f>
        <v>#REF!</v>
      </c>
    </row>
    <row r="18" spans="1:115" x14ac:dyDescent="0.3">
      <c r="A18" s="388"/>
      <c r="B18" s="388"/>
      <c r="C18" s="238" t="s">
        <v>327</v>
      </c>
      <c r="D18" s="239"/>
      <c r="E18" s="403"/>
      <c r="F18" s="404"/>
      <c r="G18" s="404"/>
      <c r="H18" s="422">
        <v>44210500</v>
      </c>
      <c r="I18" s="419"/>
      <c r="J18" s="388"/>
      <c r="K18" s="404"/>
      <c r="L18" s="404"/>
      <c r="M18" s="421">
        <v>830100</v>
      </c>
      <c r="N18" s="419"/>
      <c r="O18" s="388"/>
      <c r="P18" s="404"/>
      <c r="Q18" s="404"/>
      <c r="R18" s="421">
        <v>1373600</v>
      </c>
      <c r="S18" s="419"/>
      <c r="T18" s="388"/>
      <c r="U18" s="404"/>
      <c r="V18" s="404"/>
      <c r="W18" s="421">
        <v>1756500</v>
      </c>
      <c r="X18" s="419"/>
      <c r="Y18" s="388"/>
      <c r="Z18" s="404"/>
      <c r="AA18" s="404"/>
      <c r="AB18" s="421">
        <v>4166600</v>
      </c>
      <c r="AC18" s="419"/>
      <c r="AD18" s="388"/>
      <c r="AE18" s="404"/>
      <c r="AF18" s="404"/>
      <c r="AG18" s="421">
        <v>4360000</v>
      </c>
      <c r="AH18" s="419"/>
      <c r="AI18" s="388"/>
      <c r="AJ18" s="404"/>
      <c r="AK18" s="404"/>
      <c r="AL18" s="421">
        <v>7501300</v>
      </c>
      <c r="AM18" s="419"/>
      <c r="AN18" s="388"/>
      <c r="AO18" s="404"/>
      <c r="AP18" s="404"/>
      <c r="AQ18" s="421">
        <v>6284700</v>
      </c>
      <c r="AR18" s="419"/>
      <c r="AS18" s="388"/>
      <c r="AT18" s="404"/>
      <c r="AU18" s="404"/>
      <c r="AV18" s="421">
        <v>5731200</v>
      </c>
      <c r="AW18" s="419"/>
      <c r="AX18" s="388"/>
      <c r="AY18" s="404"/>
      <c r="AZ18" s="404"/>
      <c r="BA18" s="421">
        <v>3549100</v>
      </c>
      <c r="BB18" s="419"/>
      <c r="BC18" s="388"/>
      <c r="BD18" s="404"/>
      <c r="BE18" s="404"/>
      <c r="BF18" s="421">
        <v>3400000</v>
      </c>
      <c r="BG18" s="419"/>
      <c r="BH18" s="388"/>
      <c r="BI18" s="404"/>
      <c r="BJ18" s="404"/>
      <c r="BK18" s="421">
        <v>2348590</v>
      </c>
      <c r="BL18" s="419"/>
      <c r="BM18" s="388"/>
      <c r="BN18" s="404"/>
      <c r="BO18" s="404"/>
      <c r="BP18" s="421">
        <v>3551800</v>
      </c>
      <c r="BQ18" s="419"/>
      <c r="BR18" s="388"/>
      <c r="BS18" s="404"/>
      <c r="BT18" s="404"/>
      <c r="BU18" s="421">
        <f>SUM(M18:BP18)</f>
        <v>44853490</v>
      </c>
      <c r="BV18" s="419"/>
      <c r="BW18" s="388"/>
      <c r="BX18" s="404"/>
      <c r="BY18" s="404"/>
      <c r="BZ18" s="421">
        <v>1752500</v>
      </c>
      <c r="CA18" s="419"/>
      <c r="CB18" s="388"/>
      <c r="CC18" s="404"/>
      <c r="CD18" s="404"/>
      <c r="CE18" s="421">
        <v>1409500</v>
      </c>
      <c r="CF18" s="419"/>
      <c r="CG18" s="388"/>
      <c r="CH18" s="404"/>
      <c r="CI18" s="404"/>
      <c r="CJ18" s="421">
        <v>3058400</v>
      </c>
      <c r="CK18" s="419"/>
      <c r="CL18" s="388"/>
      <c r="CM18" s="404"/>
      <c r="CN18" s="404"/>
      <c r="CO18" s="421">
        <v>2220000</v>
      </c>
      <c r="CP18" s="419"/>
      <c r="CQ18" s="388"/>
      <c r="CR18" s="404"/>
      <c r="CS18" s="404"/>
      <c r="CT18" s="421">
        <v>748700</v>
      </c>
      <c r="CU18" s="419"/>
      <c r="CV18" s="388"/>
      <c r="CW18" s="404"/>
      <c r="CX18" s="404"/>
      <c r="CY18" s="421">
        <v>-2073560</v>
      </c>
      <c r="CZ18" s="419"/>
      <c r="DA18" s="388"/>
      <c r="DB18" s="404"/>
      <c r="DC18" s="404"/>
      <c r="DD18" s="421">
        <v>-1449200</v>
      </c>
      <c r="DE18" s="419"/>
      <c r="DF18" s="388"/>
      <c r="DG18" s="398"/>
      <c r="DJ18" s="411"/>
      <c r="DK18" s="411" t="e">
        <f>#REF!-#REF!</f>
        <v>#REF!</v>
      </c>
    </row>
    <row r="19" spans="1:115" x14ac:dyDescent="0.3">
      <c r="A19" s="388"/>
      <c r="B19" s="388"/>
      <c r="C19" s="238" t="s">
        <v>328</v>
      </c>
      <c r="D19" s="239"/>
      <c r="E19" s="403"/>
      <c r="F19" s="404"/>
      <c r="G19" s="404"/>
      <c r="H19" s="423">
        <v>57199570</v>
      </c>
      <c r="I19" s="419"/>
      <c r="J19" s="388"/>
      <c r="K19" s="404"/>
      <c r="L19" s="404"/>
      <c r="M19" s="424">
        <v>1681550</v>
      </c>
      <c r="N19" s="419"/>
      <c r="O19" s="388"/>
      <c r="P19" s="404"/>
      <c r="Q19" s="404"/>
      <c r="R19" s="424">
        <v>891000</v>
      </c>
      <c r="S19" s="419"/>
      <c r="T19" s="388"/>
      <c r="U19" s="404"/>
      <c r="V19" s="404"/>
      <c r="W19" s="424">
        <v>1610300</v>
      </c>
      <c r="X19" s="419"/>
      <c r="Y19" s="388"/>
      <c r="Z19" s="404"/>
      <c r="AA19" s="404"/>
      <c r="AB19" s="424">
        <v>6731820</v>
      </c>
      <c r="AC19" s="419"/>
      <c r="AD19" s="388"/>
      <c r="AE19" s="404"/>
      <c r="AF19" s="404"/>
      <c r="AG19" s="424">
        <v>4854500</v>
      </c>
      <c r="AH19" s="419"/>
      <c r="AI19" s="388"/>
      <c r="AJ19" s="404"/>
      <c r="AK19" s="404"/>
      <c r="AL19" s="424">
        <v>6875000</v>
      </c>
      <c r="AM19" s="419"/>
      <c r="AN19" s="388"/>
      <c r="AO19" s="404"/>
      <c r="AP19" s="404"/>
      <c r="AQ19" s="424">
        <v>4709200</v>
      </c>
      <c r="AR19" s="419"/>
      <c r="AS19" s="388"/>
      <c r="AT19" s="404"/>
      <c r="AU19" s="404"/>
      <c r="AV19" s="424">
        <v>4860000</v>
      </c>
      <c r="AW19" s="419"/>
      <c r="AX19" s="388"/>
      <c r="AY19" s="404"/>
      <c r="AZ19" s="404"/>
      <c r="BA19" s="424">
        <v>4842760</v>
      </c>
      <c r="BB19" s="419"/>
      <c r="BC19" s="388"/>
      <c r="BD19" s="404"/>
      <c r="BE19" s="404"/>
      <c r="BF19" s="424">
        <v>5475030</v>
      </c>
      <c r="BG19" s="419"/>
      <c r="BH19" s="388"/>
      <c r="BI19" s="404"/>
      <c r="BJ19" s="404"/>
      <c r="BK19" s="424">
        <v>7231310</v>
      </c>
      <c r="BL19" s="419"/>
      <c r="BM19" s="388"/>
      <c r="BN19" s="404"/>
      <c r="BO19" s="404"/>
      <c r="BP19" s="424">
        <v>9648450</v>
      </c>
      <c r="BQ19" s="419"/>
      <c r="BR19" s="388"/>
      <c r="BS19" s="404"/>
      <c r="BT19" s="404"/>
      <c r="BU19" s="424">
        <f>SUM(M19:BP19)</f>
        <v>59410920</v>
      </c>
      <c r="BV19" s="419"/>
      <c r="BW19" s="388"/>
      <c r="BX19" s="404"/>
      <c r="BY19" s="404"/>
      <c r="BZ19" s="424">
        <v>3265500</v>
      </c>
      <c r="CA19" s="419"/>
      <c r="CB19" s="388"/>
      <c r="CC19" s="404"/>
      <c r="CD19" s="404"/>
      <c r="CE19" s="424">
        <v>1810000</v>
      </c>
      <c r="CF19" s="419"/>
      <c r="CG19" s="388"/>
      <c r="CH19" s="404"/>
      <c r="CI19" s="404"/>
      <c r="CJ19" s="424">
        <v>3426500</v>
      </c>
      <c r="CK19" s="419"/>
      <c r="CL19" s="388"/>
      <c r="CM19" s="404"/>
      <c r="CN19" s="404"/>
      <c r="CO19" s="424">
        <v>1960000</v>
      </c>
      <c r="CP19" s="419"/>
      <c r="CQ19" s="388"/>
      <c r="CR19" s="404"/>
      <c r="CS19" s="404"/>
      <c r="CT19" s="424">
        <v>398000</v>
      </c>
      <c r="CU19" s="419"/>
      <c r="CV19" s="388"/>
      <c r="CW19" s="404"/>
      <c r="CX19" s="404"/>
      <c r="CY19" s="424">
        <v>-1150000</v>
      </c>
      <c r="CZ19" s="419"/>
      <c r="DA19" s="388"/>
      <c r="DB19" s="404"/>
      <c r="DC19" s="404"/>
      <c r="DD19" s="424">
        <v>-920000</v>
      </c>
      <c r="DE19" s="419"/>
      <c r="DF19" s="388"/>
      <c r="DG19" s="398"/>
      <c r="DJ19" s="411"/>
      <c r="DK19" s="411" t="e">
        <f>#REF!-#REF!</f>
        <v>#REF!</v>
      </c>
    </row>
    <row r="20" spans="1:115" x14ac:dyDescent="0.3">
      <c r="A20" s="388"/>
      <c r="B20" s="388"/>
      <c r="C20" s="398"/>
      <c r="D20" s="388"/>
      <c r="E20" s="403"/>
      <c r="F20" s="404"/>
      <c r="G20" s="404"/>
      <c r="H20" s="388"/>
      <c r="I20" s="419"/>
      <c r="J20" s="388"/>
      <c r="K20" s="404"/>
      <c r="L20" s="404"/>
      <c r="M20" s="388"/>
      <c r="N20" s="419"/>
      <c r="O20" s="388"/>
      <c r="P20" s="404"/>
      <c r="Q20" s="404"/>
      <c r="R20" s="388"/>
      <c r="S20" s="419"/>
      <c r="T20" s="388"/>
      <c r="U20" s="404"/>
      <c r="V20" s="404"/>
      <c r="W20" s="388"/>
      <c r="X20" s="419"/>
      <c r="Y20" s="388"/>
      <c r="Z20" s="404"/>
      <c r="AA20" s="404"/>
      <c r="AB20" s="388"/>
      <c r="AC20" s="419"/>
      <c r="AD20" s="388"/>
      <c r="AE20" s="404"/>
      <c r="AF20" s="404"/>
      <c r="AG20" s="388"/>
      <c r="AH20" s="419"/>
      <c r="AI20" s="388"/>
      <c r="AJ20" s="404"/>
      <c r="AK20" s="404"/>
      <c r="AL20" s="388"/>
      <c r="AM20" s="419"/>
      <c r="AN20" s="388"/>
      <c r="AO20" s="404"/>
      <c r="AP20" s="404"/>
      <c r="AQ20" s="388"/>
      <c r="AR20" s="419"/>
      <c r="AS20" s="388"/>
      <c r="AT20" s="404"/>
      <c r="AU20" s="404"/>
      <c r="AV20" s="388"/>
      <c r="AW20" s="419"/>
      <c r="AX20" s="388"/>
      <c r="AY20" s="404"/>
      <c r="AZ20" s="404"/>
      <c r="BA20" s="388"/>
      <c r="BB20" s="419"/>
      <c r="BC20" s="388"/>
      <c r="BD20" s="404"/>
      <c r="BE20" s="404"/>
      <c r="BF20" s="388"/>
      <c r="BG20" s="419"/>
      <c r="BH20" s="388"/>
      <c r="BI20" s="404"/>
      <c r="BJ20" s="404"/>
      <c r="BK20" s="388"/>
      <c r="BL20" s="419"/>
      <c r="BM20" s="388"/>
      <c r="BN20" s="404"/>
      <c r="BO20" s="404"/>
      <c r="BP20" s="388"/>
      <c r="BQ20" s="419"/>
      <c r="BR20" s="388"/>
      <c r="BS20" s="404"/>
      <c r="BT20" s="404"/>
      <c r="BU20" s="388"/>
      <c r="BV20" s="419"/>
      <c r="BW20" s="388"/>
      <c r="BX20" s="404"/>
      <c r="BY20" s="404"/>
      <c r="BZ20" s="388"/>
      <c r="CA20" s="419"/>
      <c r="CB20" s="388"/>
      <c r="CC20" s="404"/>
      <c r="CD20" s="404"/>
      <c r="CE20" s="388"/>
      <c r="CF20" s="419"/>
      <c r="CG20" s="388"/>
      <c r="CH20" s="404"/>
      <c r="CI20" s="404"/>
      <c r="CJ20" s="388"/>
      <c r="CK20" s="419"/>
      <c r="CL20" s="388"/>
      <c r="CM20" s="404"/>
      <c r="CN20" s="404"/>
      <c r="CO20" s="388"/>
      <c r="CP20" s="419"/>
      <c r="CQ20" s="388"/>
      <c r="CR20" s="404"/>
      <c r="CS20" s="404"/>
      <c r="CT20" s="388"/>
      <c r="CU20" s="419"/>
      <c r="CV20" s="388"/>
      <c r="CW20" s="404"/>
      <c r="CX20" s="404"/>
      <c r="CY20" s="388"/>
      <c r="CZ20" s="419"/>
      <c r="DA20" s="388"/>
      <c r="DB20" s="404"/>
      <c r="DC20" s="404"/>
      <c r="DD20" s="388"/>
      <c r="DE20" s="419"/>
      <c r="DF20" s="388"/>
      <c r="DG20" s="398"/>
      <c r="DJ20" s="411"/>
      <c r="DK20" s="411" t="e">
        <f>#REF!-#REF!</f>
        <v>#REF!</v>
      </c>
    </row>
    <row r="21" spans="1:115" x14ac:dyDescent="0.3">
      <c r="A21" s="388"/>
      <c r="B21" s="388"/>
      <c r="C21" s="426" t="s">
        <v>329</v>
      </c>
      <c r="D21" s="239"/>
      <c r="E21" s="403"/>
      <c r="F21" s="404"/>
      <c r="G21" s="427"/>
      <c r="H21" s="428">
        <v>-27355000</v>
      </c>
      <c r="I21" s="429"/>
      <c r="J21" s="388"/>
      <c r="K21" s="404"/>
      <c r="L21" s="427"/>
      <c r="M21" s="430">
        <v>34021688</v>
      </c>
      <c r="N21" s="429"/>
      <c r="O21" s="388"/>
      <c r="P21" s="404"/>
      <c r="Q21" s="427"/>
      <c r="R21" s="430">
        <v>5878269</v>
      </c>
      <c r="S21" s="429"/>
      <c r="T21" s="388"/>
      <c r="U21" s="404"/>
      <c r="V21" s="427"/>
      <c r="W21" s="430">
        <v>-240372</v>
      </c>
      <c r="X21" s="429"/>
      <c r="Y21" s="388"/>
      <c r="Z21" s="404"/>
      <c r="AA21" s="427"/>
      <c r="AB21" s="430">
        <v>9704957</v>
      </c>
      <c r="AC21" s="429"/>
      <c r="AD21" s="388"/>
      <c r="AE21" s="404"/>
      <c r="AF21" s="427"/>
      <c r="AG21" s="430">
        <v>-18522231</v>
      </c>
      <c r="AH21" s="429"/>
      <c r="AI21" s="388"/>
      <c r="AJ21" s="404"/>
      <c r="AK21" s="427"/>
      <c r="AL21" s="430">
        <v>-16673088</v>
      </c>
      <c r="AM21" s="429"/>
      <c r="AN21" s="388"/>
      <c r="AO21" s="404"/>
      <c r="AP21" s="427"/>
      <c r="AQ21" s="430">
        <v>18827765</v>
      </c>
      <c r="AR21" s="429"/>
      <c r="AS21" s="388"/>
      <c r="AT21" s="404"/>
      <c r="AU21" s="427"/>
      <c r="AV21" s="430">
        <v>-9220307</v>
      </c>
      <c r="AW21" s="429"/>
      <c r="AX21" s="388"/>
      <c r="AY21" s="404"/>
      <c r="AZ21" s="427"/>
      <c r="BA21" s="430">
        <v>-33532842</v>
      </c>
      <c r="BB21" s="429"/>
      <c r="BC21" s="388"/>
      <c r="BD21" s="404"/>
      <c r="BE21" s="427"/>
      <c r="BF21" s="430">
        <v>7322862</v>
      </c>
      <c r="BG21" s="429"/>
      <c r="BH21" s="388"/>
      <c r="BI21" s="404"/>
      <c r="BJ21" s="427"/>
      <c r="BK21" s="430">
        <v>-23112704</v>
      </c>
      <c r="BL21" s="429"/>
      <c r="BM21" s="388"/>
      <c r="BN21" s="404"/>
      <c r="BO21" s="427"/>
      <c r="BP21" s="430">
        <v>-1738833</v>
      </c>
      <c r="BQ21" s="429"/>
      <c r="BR21" s="388"/>
      <c r="BS21" s="404"/>
      <c r="BT21" s="427"/>
      <c r="BU21" s="430">
        <f>SUM(M21:BP21)</f>
        <v>-27284836</v>
      </c>
      <c r="BV21" s="429"/>
      <c r="BW21" s="388"/>
      <c r="BX21" s="404"/>
      <c r="BY21" s="427"/>
      <c r="BZ21" s="430">
        <v>3920091</v>
      </c>
      <c r="CA21" s="429"/>
      <c r="CB21" s="388"/>
      <c r="CC21" s="404"/>
      <c r="CD21" s="427"/>
      <c r="CE21" s="430">
        <v>-25322180</v>
      </c>
      <c r="CF21" s="429"/>
      <c r="CG21" s="388"/>
      <c r="CH21" s="404"/>
      <c r="CI21" s="427"/>
      <c r="CJ21" s="430">
        <v>4025693</v>
      </c>
      <c r="CK21" s="429"/>
      <c r="CL21" s="388"/>
      <c r="CM21" s="404"/>
      <c r="CN21" s="427"/>
      <c r="CO21" s="430">
        <v>4825860</v>
      </c>
      <c r="CP21" s="429"/>
      <c r="CQ21" s="388"/>
      <c r="CR21" s="404"/>
      <c r="CS21" s="427"/>
      <c r="CT21" s="430">
        <v>-10295609</v>
      </c>
      <c r="CU21" s="429"/>
      <c r="CV21" s="388"/>
      <c r="CW21" s="404"/>
      <c r="CX21" s="427"/>
      <c r="CY21" s="430">
        <v>21308011</v>
      </c>
      <c r="CZ21" s="429"/>
      <c r="DA21" s="388"/>
      <c r="DB21" s="404"/>
      <c r="DC21" s="427"/>
      <c r="DD21" s="430">
        <v>6973911</v>
      </c>
      <c r="DE21" s="429"/>
      <c r="DF21" s="388"/>
      <c r="DG21" s="398"/>
      <c r="DJ21" s="411"/>
      <c r="DK21" s="411" t="e">
        <f>#REF!-#REF!</f>
        <v>#REF!</v>
      </c>
    </row>
    <row r="22" spans="1:115" x14ac:dyDescent="0.3">
      <c r="A22" s="388"/>
      <c r="B22" s="388"/>
      <c r="C22" s="398"/>
      <c r="D22" s="388"/>
      <c r="E22" s="403"/>
      <c r="F22" s="431"/>
      <c r="G22" s="432"/>
      <c r="H22" s="388"/>
      <c r="I22" s="388"/>
      <c r="J22" s="388"/>
      <c r="K22" s="404"/>
      <c r="L22" s="388"/>
      <c r="M22" s="388"/>
      <c r="N22" s="388"/>
      <c r="O22" s="388"/>
      <c r="P22" s="404"/>
      <c r="Q22" s="388"/>
      <c r="R22" s="388"/>
      <c r="S22" s="388"/>
      <c r="T22" s="388"/>
      <c r="U22" s="404"/>
      <c r="V22" s="388"/>
      <c r="W22" s="388"/>
      <c r="X22" s="388"/>
      <c r="Y22" s="388"/>
      <c r="Z22" s="404"/>
      <c r="AA22" s="388"/>
      <c r="AB22" s="388"/>
      <c r="AC22" s="388"/>
      <c r="AD22" s="388"/>
      <c r="AE22" s="404"/>
      <c r="AF22" s="388"/>
      <c r="AG22" s="388"/>
      <c r="AH22" s="388"/>
      <c r="AI22" s="388"/>
      <c r="AJ22" s="404"/>
      <c r="AK22" s="388"/>
      <c r="AL22" s="388"/>
      <c r="AM22" s="388"/>
      <c r="AN22" s="388"/>
      <c r="AO22" s="404"/>
      <c r="AP22" s="388"/>
      <c r="AQ22" s="388"/>
      <c r="AR22" s="388"/>
      <c r="AS22" s="388"/>
      <c r="AT22" s="404"/>
      <c r="AU22" s="388"/>
      <c r="AV22" s="388"/>
      <c r="AW22" s="388"/>
      <c r="AX22" s="388"/>
      <c r="AY22" s="404"/>
      <c r="AZ22" s="388"/>
      <c r="BA22" s="388"/>
      <c r="BB22" s="388"/>
      <c r="BC22" s="388"/>
      <c r="BD22" s="404"/>
      <c r="BE22" s="388"/>
      <c r="BF22" s="388"/>
      <c r="BG22" s="388"/>
      <c r="BH22" s="388"/>
      <c r="BI22" s="404"/>
      <c r="BJ22" s="388"/>
      <c r="BK22" s="388"/>
      <c r="BL22" s="388"/>
      <c r="BM22" s="388"/>
      <c r="BN22" s="404"/>
      <c r="BO22" s="388"/>
      <c r="BP22" s="388"/>
      <c r="BQ22" s="388"/>
      <c r="BR22" s="388"/>
      <c r="BS22" s="404"/>
      <c r="BT22" s="388"/>
      <c r="BU22" s="388"/>
      <c r="BV22" s="388"/>
      <c r="BW22" s="388"/>
      <c r="BX22" s="404"/>
      <c r="BY22" s="388"/>
      <c r="BZ22" s="388"/>
      <c r="CA22" s="388"/>
      <c r="CB22" s="388"/>
      <c r="CC22" s="404"/>
      <c r="CD22" s="388"/>
      <c r="CE22" s="388"/>
      <c r="CF22" s="388"/>
      <c r="CG22" s="388"/>
      <c r="CH22" s="404"/>
      <c r="CI22" s="388"/>
      <c r="CJ22" s="388"/>
      <c r="CK22" s="388"/>
      <c r="CL22" s="388"/>
      <c r="CM22" s="404"/>
      <c r="CN22" s="388"/>
      <c r="CO22" s="388"/>
      <c r="CP22" s="388"/>
      <c r="CQ22" s="388"/>
      <c r="CR22" s="404"/>
      <c r="CS22" s="388"/>
      <c r="CT22" s="388"/>
      <c r="CU22" s="388"/>
      <c r="CV22" s="388"/>
      <c r="CW22" s="404"/>
      <c r="CX22" s="388"/>
      <c r="CY22" s="388"/>
      <c r="CZ22" s="388"/>
      <c r="DA22" s="388"/>
      <c r="DB22" s="404"/>
      <c r="DC22" s="388"/>
      <c r="DD22" s="388"/>
      <c r="DE22" s="388"/>
      <c r="DF22" s="388"/>
      <c r="DG22" s="398"/>
      <c r="DJ22" s="411"/>
      <c r="DK22" s="411" t="e">
        <f>#REF!-#REF!</f>
        <v>#REF!</v>
      </c>
    </row>
    <row r="23" spans="1:115" s="411" customFormat="1" x14ac:dyDescent="0.3">
      <c r="A23" s="389"/>
      <c r="B23" s="389"/>
      <c r="C23" s="405" t="s">
        <v>38</v>
      </c>
      <c r="D23" s="389"/>
      <c r="E23" s="406"/>
      <c r="F23" s="433"/>
      <c r="G23" s="434"/>
      <c r="H23" s="389">
        <f>H24+H30+H35+H39</f>
        <v>465992000</v>
      </c>
      <c r="I23" s="389"/>
      <c r="J23" s="389"/>
      <c r="K23" s="407"/>
      <c r="L23" s="389"/>
      <c r="M23" s="389">
        <f>M24+M30+M35</f>
        <v>32850713</v>
      </c>
      <c r="N23" s="389"/>
      <c r="O23" s="389"/>
      <c r="P23" s="407"/>
      <c r="Q23" s="389"/>
      <c r="R23" s="389">
        <f>R24+R30+R35+R39</f>
        <v>40638036.743999995</v>
      </c>
      <c r="S23" s="389"/>
      <c r="T23" s="389"/>
      <c r="U23" s="407"/>
      <c r="V23" s="389"/>
      <c r="W23" s="389">
        <f>W24+W30+W35+W39</f>
        <v>43402900</v>
      </c>
      <c r="X23" s="389"/>
      <c r="Y23" s="389"/>
      <c r="Z23" s="407"/>
      <c r="AA23" s="389"/>
      <c r="AB23" s="389">
        <f>AB24+AB30+AB35+AB39</f>
        <v>60600922</v>
      </c>
      <c r="AC23" s="389"/>
      <c r="AD23" s="389"/>
      <c r="AE23" s="407"/>
      <c r="AF23" s="389"/>
      <c r="AG23" s="389">
        <f>AG24+AG30+AG35+AG39</f>
        <v>37229982</v>
      </c>
      <c r="AH23" s="389"/>
      <c r="AI23" s="389"/>
      <c r="AJ23" s="407"/>
      <c r="AK23" s="389"/>
      <c r="AL23" s="389">
        <f>AL24+AL30+AL35+AL39</f>
        <v>50427153</v>
      </c>
      <c r="AM23" s="389"/>
      <c r="AN23" s="389"/>
      <c r="AO23" s="407"/>
      <c r="AP23" s="389"/>
      <c r="AQ23" s="389">
        <f>AQ24+AQ30+AQ35+AQ39</f>
        <v>50571945</v>
      </c>
      <c r="AR23" s="389"/>
      <c r="AS23" s="389"/>
      <c r="AT23" s="407"/>
      <c r="AU23" s="389"/>
      <c r="AV23" s="389">
        <f>AV24+AV30+AV35+AV39</f>
        <v>39211461</v>
      </c>
      <c r="AW23" s="389"/>
      <c r="AX23" s="389"/>
      <c r="AY23" s="407"/>
      <c r="AZ23" s="389"/>
      <c r="BA23" s="389">
        <f>BA24+BA30+BA35+BA39</f>
        <v>45711722</v>
      </c>
      <c r="BB23" s="389"/>
      <c r="BC23" s="389"/>
      <c r="BD23" s="407"/>
      <c r="BE23" s="389"/>
      <c r="BF23" s="389">
        <f>BF24+BF30+BF35+BF39</f>
        <v>34673258</v>
      </c>
      <c r="BG23" s="389"/>
      <c r="BH23" s="389"/>
      <c r="BI23" s="407"/>
      <c r="BJ23" s="389"/>
      <c r="BK23" s="389">
        <f>BK24+BK30+BK35+BK39</f>
        <v>42446719</v>
      </c>
      <c r="BL23" s="389"/>
      <c r="BM23" s="389"/>
      <c r="BN23" s="407"/>
      <c r="BO23" s="389"/>
      <c r="BP23" s="389">
        <f>BP24+BP30+BP35+BP39</f>
        <v>-7569549</v>
      </c>
      <c r="BQ23" s="389"/>
      <c r="BR23" s="389"/>
      <c r="BS23" s="407"/>
      <c r="BT23" s="389"/>
      <c r="BU23" s="389">
        <f>BU24+BU30+BU35+BU39</f>
        <v>470195262.74399996</v>
      </c>
      <c r="BV23" s="389"/>
      <c r="BW23" s="389"/>
      <c r="BX23" s="407"/>
      <c r="BY23" s="389"/>
      <c r="BZ23" s="389">
        <f>BZ24+BZ30+BZ35+BZ39</f>
        <v>28165310</v>
      </c>
      <c r="CA23" s="389"/>
      <c r="CB23" s="389"/>
      <c r="CC23" s="407"/>
      <c r="CD23" s="389"/>
      <c r="CE23" s="389">
        <f>CE24+CE30+CE35+CE39</f>
        <v>29107369</v>
      </c>
      <c r="CF23" s="389"/>
      <c r="CG23" s="389"/>
      <c r="CH23" s="407"/>
      <c r="CI23" s="389"/>
      <c r="CJ23" s="389">
        <f>CJ24+CJ30+CJ35+CJ39</f>
        <v>30927020</v>
      </c>
      <c r="CK23" s="389"/>
      <c r="CL23" s="389"/>
      <c r="CM23" s="407"/>
      <c r="CN23" s="389"/>
      <c r="CO23" s="389">
        <f>CO24+CO30+CO35+CO39</f>
        <v>30718792</v>
      </c>
      <c r="CP23" s="389"/>
      <c r="CQ23" s="389"/>
      <c r="CR23" s="407"/>
      <c r="CS23" s="389"/>
      <c r="CT23" s="389">
        <f>CT24+CT30+CT35+CT39</f>
        <v>23853310</v>
      </c>
      <c r="CU23" s="389"/>
      <c r="CV23" s="389"/>
      <c r="CW23" s="407"/>
      <c r="CX23" s="389"/>
      <c r="CY23" s="389">
        <f>CY24+CY30+CY35+CY39</f>
        <v>3150815</v>
      </c>
      <c r="CZ23" s="389"/>
      <c r="DA23" s="389"/>
      <c r="DB23" s="407"/>
      <c r="DC23" s="389"/>
      <c r="DD23" s="389">
        <f>DD24+DD30+DD35+DD39</f>
        <v>29159155</v>
      </c>
      <c r="DE23" s="389"/>
      <c r="DF23" s="389"/>
      <c r="DG23" s="405"/>
      <c r="DH23" s="389"/>
      <c r="DK23" s="411" t="e">
        <f>#REF!-#REF!</f>
        <v>#REF!</v>
      </c>
    </row>
    <row r="24" spans="1:115" x14ac:dyDescent="0.3">
      <c r="A24" s="388"/>
      <c r="B24" s="388"/>
      <c r="C24" s="398" t="s">
        <v>330</v>
      </c>
      <c r="D24" s="388"/>
      <c r="E24" s="403"/>
      <c r="F24" s="431"/>
      <c r="G24" s="435"/>
      <c r="H24" s="413">
        <f>SUM(H25:H28)</f>
        <v>466034575</v>
      </c>
      <c r="I24" s="414"/>
      <c r="J24" s="388"/>
      <c r="K24" s="404"/>
      <c r="L24" s="412"/>
      <c r="M24" s="413">
        <f>SUM(M25:M28)</f>
        <v>32850713</v>
      </c>
      <c r="N24" s="414"/>
      <c r="O24" s="388"/>
      <c r="P24" s="404"/>
      <c r="Q24" s="412"/>
      <c r="R24" s="413">
        <f>SUM(R25:R28)</f>
        <v>40638036.743999995</v>
      </c>
      <c r="S24" s="414"/>
      <c r="T24" s="388"/>
      <c r="U24" s="404"/>
      <c r="V24" s="412"/>
      <c r="W24" s="413">
        <f>SUM(W25:W28)</f>
        <v>43402900</v>
      </c>
      <c r="X24" s="414"/>
      <c r="Y24" s="388"/>
      <c r="Z24" s="404"/>
      <c r="AA24" s="412"/>
      <c r="AB24" s="413">
        <f>SUM(AB25:AB28)</f>
        <v>60600922</v>
      </c>
      <c r="AC24" s="414"/>
      <c r="AD24" s="388"/>
      <c r="AE24" s="404"/>
      <c r="AF24" s="412"/>
      <c r="AG24" s="413">
        <f>SUM(AG25:AG28)</f>
        <v>37229982</v>
      </c>
      <c r="AH24" s="414"/>
      <c r="AI24" s="388"/>
      <c r="AJ24" s="404"/>
      <c r="AK24" s="412"/>
      <c r="AL24" s="413">
        <f>SUM(AL25:AL28)</f>
        <v>50427153</v>
      </c>
      <c r="AM24" s="414"/>
      <c r="AN24" s="388"/>
      <c r="AO24" s="404"/>
      <c r="AP24" s="412"/>
      <c r="AQ24" s="413">
        <f>SUM(AQ25:AQ28)</f>
        <v>50571945</v>
      </c>
      <c r="AR24" s="414"/>
      <c r="AS24" s="388"/>
      <c r="AT24" s="404"/>
      <c r="AU24" s="412"/>
      <c r="AV24" s="413">
        <f>SUM(AV25:AV28)</f>
        <v>39125584</v>
      </c>
      <c r="AW24" s="414"/>
      <c r="AX24" s="388"/>
      <c r="AY24" s="404"/>
      <c r="AZ24" s="412"/>
      <c r="BA24" s="413">
        <f>SUM(BA25:BA28)</f>
        <v>45797599</v>
      </c>
      <c r="BB24" s="414"/>
      <c r="BC24" s="388"/>
      <c r="BD24" s="404"/>
      <c r="BE24" s="412"/>
      <c r="BF24" s="413">
        <f>SUM(BF25:BF28)</f>
        <v>34673258</v>
      </c>
      <c r="BG24" s="414"/>
      <c r="BH24" s="388"/>
      <c r="BI24" s="404"/>
      <c r="BJ24" s="412"/>
      <c r="BK24" s="413">
        <f>SUM(BK25:BK28)</f>
        <v>42405005</v>
      </c>
      <c r="BL24" s="414"/>
      <c r="BM24" s="388"/>
      <c r="BN24" s="404"/>
      <c r="BO24" s="412"/>
      <c r="BP24" s="413">
        <f>SUM(BP25:BP28)</f>
        <v>-7569549</v>
      </c>
      <c r="BQ24" s="414"/>
      <c r="BR24" s="388"/>
      <c r="BS24" s="404"/>
      <c r="BT24" s="412"/>
      <c r="BU24" s="413">
        <f>SUM(BU25:BU28)</f>
        <v>470153548.74399996</v>
      </c>
      <c r="BV24" s="414"/>
      <c r="BW24" s="388"/>
      <c r="BX24" s="404"/>
      <c r="BY24" s="412"/>
      <c r="BZ24" s="413">
        <f>SUM(BZ25:BZ28)</f>
        <v>28165310</v>
      </c>
      <c r="CA24" s="414"/>
      <c r="CB24" s="388"/>
      <c r="CC24" s="404"/>
      <c r="CD24" s="412"/>
      <c r="CE24" s="413">
        <f>SUM(CE25:CE28)</f>
        <v>29107369</v>
      </c>
      <c r="CF24" s="414"/>
      <c r="CG24" s="388"/>
      <c r="CH24" s="404"/>
      <c r="CI24" s="412"/>
      <c r="CJ24" s="413">
        <f>SUM(CJ25:CJ28)</f>
        <v>30927020</v>
      </c>
      <c r="CK24" s="414"/>
      <c r="CL24" s="388"/>
      <c r="CM24" s="404"/>
      <c r="CN24" s="412"/>
      <c r="CO24" s="413">
        <f>SUM(CO25:CO28)</f>
        <v>30718792</v>
      </c>
      <c r="CP24" s="414"/>
      <c r="CQ24" s="388"/>
      <c r="CR24" s="404"/>
      <c r="CS24" s="412"/>
      <c r="CT24" s="413">
        <f>SUM(CT25:CT28)</f>
        <v>23853310</v>
      </c>
      <c r="CU24" s="414"/>
      <c r="CV24" s="388"/>
      <c r="CW24" s="404"/>
      <c r="CX24" s="412"/>
      <c r="CY24" s="413">
        <f>SUM(CY25:CY28)</f>
        <v>3150815</v>
      </c>
      <c r="CZ24" s="414"/>
      <c r="DA24" s="388"/>
      <c r="DB24" s="404"/>
      <c r="DC24" s="412"/>
      <c r="DD24" s="413">
        <f>SUM(DD25:DD28)</f>
        <v>29159155</v>
      </c>
      <c r="DE24" s="414"/>
      <c r="DF24" s="388"/>
      <c r="DG24" s="398"/>
      <c r="DJ24" s="411"/>
      <c r="DK24" s="411" t="e">
        <f>#REF!-#REF!</f>
        <v>#REF!</v>
      </c>
    </row>
    <row r="25" spans="1:115" x14ac:dyDescent="0.3">
      <c r="A25" s="388"/>
      <c r="B25" s="388"/>
      <c r="C25" s="398" t="s">
        <v>331</v>
      </c>
      <c r="D25" s="388"/>
      <c r="E25" s="436" t="s">
        <v>332</v>
      </c>
      <c r="F25" s="437"/>
      <c r="G25" s="437"/>
      <c r="H25" s="420">
        <f>[39]domlongtermissues!G13</f>
        <v>591023575</v>
      </c>
      <c r="I25" s="419"/>
      <c r="J25" s="388"/>
      <c r="K25" s="404"/>
      <c r="L25" s="404"/>
      <c r="M25" s="420">
        <f>[39]domlongtermissues!L13</f>
        <v>38350619</v>
      </c>
      <c r="N25" s="419"/>
      <c r="O25" s="388"/>
      <c r="P25" s="404"/>
      <c r="Q25" s="404"/>
      <c r="R25" s="420">
        <f>[39]domlongtermissues!Q13</f>
        <v>45031287.743999995</v>
      </c>
      <c r="S25" s="419"/>
      <c r="T25" s="388"/>
      <c r="U25" s="404"/>
      <c r="V25" s="404"/>
      <c r="W25" s="420">
        <f>[39]domlongtermissues!V13</f>
        <v>49600848</v>
      </c>
      <c r="X25" s="419"/>
      <c r="Y25" s="388"/>
      <c r="Z25" s="404"/>
      <c r="AA25" s="404"/>
      <c r="AB25" s="420">
        <f>[39]domlongtermissues!AA13</f>
        <v>69933031</v>
      </c>
      <c r="AC25" s="419"/>
      <c r="AD25" s="388"/>
      <c r="AE25" s="404"/>
      <c r="AF25" s="404"/>
      <c r="AG25" s="420">
        <f>[39]domlongtermissues!AF13</f>
        <v>44319358</v>
      </c>
      <c r="AH25" s="419"/>
      <c r="AI25" s="388"/>
      <c r="AJ25" s="404"/>
      <c r="AK25" s="404"/>
      <c r="AL25" s="420">
        <f>[39]domlongtermissues!AK13</f>
        <v>61486843</v>
      </c>
      <c r="AM25" s="419"/>
      <c r="AN25" s="388"/>
      <c r="AO25" s="404"/>
      <c r="AP25" s="404"/>
      <c r="AQ25" s="420">
        <f>[39]domlongtermissues!AP13</f>
        <v>59931421</v>
      </c>
      <c r="AR25" s="419"/>
      <c r="AS25" s="388"/>
      <c r="AT25" s="404"/>
      <c r="AU25" s="404"/>
      <c r="AV25" s="420">
        <f>[39]domlongtermissues!AU13</f>
        <v>46634910</v>
      </c>
      <c r="AW25" s="419"/>
      <c r="AX25" s="388"/>
      <c r="AY25" s="404"/>
      <c r="AZ25" s="404"/>
      <c r="BA25" s="420">
        <f>[39]domlongtermissues!AZ13</f>
        <v>52191398</v>
      </c>
      <c r="BB25" s="419"/>
      <c r="BC25" s="388"/>
      <c r="BD25" s="404"/>
      <c r="BE25" s="404"/>
      <c r="BF25" s="420">
        <f>[39]domlongtermissues!BE13</f>
        <v>39060638</v>
      </c>
      <c r="BG25" s="419"/>
      <c r="BH25" s="388"/>
      <c r="BI25" s="404"/>
      <c r="BJ25" s="404"/>
      <c r="BK25" s="420">
        <f>[39]domlongtermissues!BJ13</f>
        <v>49399464</v>
      </c>
      <c r="BL25" s="419"/>
      <c r="BM25" s="388"/>
      <c r="BN25" s="404"/>
      <c r="BO25" s="404"/>
      <c r="BP25" s="420">
        <f>[39]domlongtermissues!BO13</f>
        <v>48828037</v>
      </c>
      <c r="BQ25" s="419"/>
      <c r="BR25" s="388"/>
      <c r="BS25" s="404"/>
      <c r="BT25" s="404"/>
      <c r="BU25" s="420">
        <f>[39]domlongtermissues!BT13</f>
        <v>604767854.74399996</v>
      </c>
      <c r="BV25" s="419"/>
      <c r="BW25" s="388"/>
      <c r="BX25" s="404"/>
      <c r="BY25" s="404"/>
      <c r="BZ25" s="420">
        <f>[39]domlongtermissues!CX13</f>
        <v>30904734</v>
      </c>
      <c r="CA25" s="419"/>
      <c r="CB25" s="388"/>
      <c r="CC25" s="404"/>
      <c r="CD25" s="404"/>
      <c r="CE25" s="420">
        <f>[39]domlongtermissues!DC13</f>
        <v>32089447</v>
      </c>
      <c r="CF25" s="419"/>
      <c r="CG25" s="388"/>
      <c r="CH25" s="404"/>
      <c r="CI25" s="404"/>
      <c r="CJ25" s="420">
        <f>[39]domlongtermissues!DH13</f>
        <v>33970885</v>
      </c>
      <c r="CK25" s="419"/>
      <c r="CL25" s="388"/>
      <c r="CM25" s="404"/>
      <c r="CN25" s="404"/>
      <c r="CO25" s="420">
        <f>[39]domlongtermissues!DM13</f>
        <v>34588835</v>
      </c>
      <c r="CP25" s="419"/>
      <c r="CQ25" s="388"/>
      <c r="CR25" s="404"/>
      <c r="CS25" s="404"/>
      <c r="CT25" s="420">
        <f>[39]domlongtermissues!DR13</f>
        <v>26476333</v>
      </c>
      <c r="CU25" s="419"/>
      <c r="CV25" s="388"/>
      <c r="CW25" s="404"/>
      <c r="CX25" s="404"/>
      <c r="CY25" s="420">
        <f>[39]domlongtermissues!DW13</f>
        <v>21562772</v>
      </c>
      <c r="CZ25" s="419"/>
      <c r="DA25" s="388"/>
      <c r="DB25" s="404"/>
      <c r="DC25" s="404"/>
      <c r="DD25" s="420">
        <f>[39]domlongtermissues!EB13</f>
        <v>32267535</v>
      </c>
      <c r="DE25" s="419"/>
      <c r="DF25" s="388"/>
      <c r="DG25" s="398"/>
      <c r="DJ25" s="411"/>
      <c r="DK25" s="411" t="e">
        <f>#REF!-#REF!</f>
        <v>#REF!</v>
      </c>
    </row>
    <row r="26" spans="1:115" x14ac:dyDescent="0.3">
      <c r="A26" s="388"/>
      <c r="B26" s="388"/>
      <c r="C26" s="398" t="s">
        <v>333</v>
      </c>
      <c r="D26" s="388"/>
      <c r="E26" s="436" t="s">
        <v>332</v>
      </c>
      <c r="F26" s="437"/>
      <c r="G26" s="437"/>
      <c r="H26" s="421">
        <f>-[39]domlongtermissues!G20</f>
        <v>-72524000</v>
      </c>
      <c r="I26" s="419"/>
      <c r="J26" s="388"/>
      <c r="K26" s="404"/>
      <c r="L26" s="404"/>
      <c r="M26" s="421">
        <f>-[39]domlongtermissues!L20</f>
        <v>-4299769</v>
      </c>
      <c r="N26" s="419"/>
      <c r="O26" s="388"/>
      <c r="P26" s="404"/>
      <c r="Q26" s="404"/>
      <c r="R26" s="421">
        <f>-[39]domlongtermissues!Q20</f>
        <v>-4058204</v>
      </c>
      <c r="S26" s="419"/>
      <c r="T26" s="388"/>
      <c r="U26" s="404"/>
      <c r="V26" s="404"/>
      <c r="W26" s="421">
        <f>-[39]domlongtermissues!V20</f>
        <v>-6085389</v>
      </c>
      <c r="X26" s="419"/>
      <c r="Y26" s="388"/>
      <c r="Z26" s="404"/>
      <c r="AA26" s="404"/>
      <c r="AB26" s="421">
        <f>-[39]domlongtermissues!AA20</f>
        <v>-8992564</v>
      </c>
      <c r="AC26" s="419"/>
      <c r="AD26" s="388"/>
      <c r="AE26" s="404"/>
      <c r="AF26" s="404"/>
      <c r="AG26" s="421">
        <f>-[39]domlongtermissues!AF20</f>
        <v>-6877121</v>
      </c>
      <c r="AH26" s="419"/>
      <c r="AI26" s="388"/>
      <c r="AJ26" s="404"/>
      <c r="AK26" s="404"/>
      <c r="AL26" s="421">
        <f>-[39]domlongtermissues!AK20</f>
        <v>-10836667</v>
      </c>
      <c r="AM26" s="419"/>
      <c r="AN26" s="388"/>
      <c r="AO26" s="404"/>
      <c r="AP26" s="404"/>
      <c r="AQ26" s="421">
        <f>-[39]domlongtermissues!AP20</f>
        <v>-9026146</v>
      </c>
      <c r="AR26" s="419"/>
      <c r="AS26" s="388"/>
      <c r="AT26" s="404"/>
      <c r="AU26" s="404"/>
      <c r="AV26" s="421">
        <f>-[39]domlongtermissues!AU20</f>
        <v>-7195171</v>
      </c>
      <c r="AW26" s="419"/>
      <c r="AX26" s="388"/>
      <c r="AY26" s="404"/>
      <c r="AZ26" s="404"/>
      <c r="BA26" s="421">
        <f>-[39]domlongtermissues!AZ20</f>
        <v>-6333842</v>
      </c>
      <c r="BB26" s="419"/>
      <c r="BC26" s="388"/>
      <c r="BD26" s="404"/>
      <c r="BE26" s="404"/>
      <c r="BF26" s="421">
        <f>-[39]domlongtermissues!BE20</f>
        <v>-3989426</v>
      </c>
      <c r="BG26" s="419"/>
      <c r="BH26" s="388"/>
      <c r="BI26" s="404"/>
      <c r="BJ26" s="404"/>
      <c r="BK26" s="421">
        <f>-[39]domlongtermissues!BJ20</f>
        <v>-6713436</v>
      </c>
      <c r="BL26" s="419"/>
      <c r="BM26" s="388"/>
      <c r="BN26" s="404"/>
      <c r="BO26" s="404"/>
      <c r="BP26" s="421">
        <f>-[39]domlongtermissues!BO20</f>
        <v>-6983980</v>
      </c>
      <c r="BQ26" s="419"/>
      <c r="BR26" s="388"/>
      <c r="BS26" s="404"/>
      <c r="BT26" s="404"/>
      <c r="BU26" s="421">
        <f>-[39]domlongtermissues!BT20</f>
        <v>-81391715</v>
      </c>
      <c r="BV26" s="419"/>
      <c r="BW26" s="388"/>
      <c r="BX26" s="404"/>
      <c r="BY26" s="404"/>
      <c r="BZ26" s="421">
        <f>-[39]domlongtermissues!CX20</f>
        <v>-2422421</v>
      </c>
      <c r="CA26" s="419"/>
      <c r="CB26" s="388"/>
      <c r="CC26" s="404"/>
      <c r="CD26" s="404"/>
      <c r="CE26" s="421">
        <f>-[39]domlongtermissues!DC20</f>
        <v>-2517677</v>
      </c>
      <c r="CF26" s="419"/>
      <c r="CG26" s="388"/>
      <c r="CH26" s="404"/>
      <c r="CI26" s="404"/>
      <c r="CJ26" s="421">
        <f>-[39]domlongtermissues!DH20</f>
        <v>-2852893</v>
      </c>
      <c r="CK26" s="419"/>
      <c r="CL26" s="388"/>
      <c r="CM26" s="404"/>
      <c r="CN26" s="404"/>
      <c r="CO26" s="421">
        <f>-[39]domlongtermissues!DM20</f>
        <v>-3497342</v>
      </c>
      <c r="CP26" s="419"/>
      <c r="CQ26" s="388"/>
      <c r="CR26" s="404"/>
      <c r="CS26" s="404"/>
      <c r="CT26" s="421">
        <f>-[39]domlongtermissues!DR20</f>
        <v>-2287072</v>
      </c>
      <c r="CU26" s="419"/>
      <c r="CV26" s="388"/>
      <c r="CW26" s="404"/>
      <c r="CX26" s="404"/>
      <c r="CY26" s="421">
        <f>-[39]domlongtermissues!DW20</f>
        <v>-2282238</v>
      </c>
      <c r="CZ26" s="419"/>
      <c r="DA26" s="388"/>
      <c r="DB26" s="404"/>
      <c r="DC26" s="404"/>
      <c r="DD26" s="421">
        <f>-[39]domlongtermissues!EB20</f>
        <v>-2868557</v>
      </c>
      <c r="DE26" s="419"/>
      <c r="DF26" s="388"/>
      <c r="DG26" s="398"/>
      <c r="DJ26" s="411"/>
      <c r="DK26" s="411" t="e">
        <f>#REF!-#REF!</f>
        <v>#REF!</v>
      </c>
    </row>
    <row r="27" spans="1:115" x14ac:dyDescent="0.3">
      <c r="A27" s="388"/>
      <c r="B27" s="388"/>
      <c r="C27" s="398" t="s">
        <v>334</v>
      </c>
      <c r="D27" s="388"/>
      <c r="E27" s="436" t="s">
        <v>335</v>
      </c>
      <c r="F27" s="437"/>
      <c r="G27" s="437"/>
      <c r="H27" s="424">
        <f>-[39]domredemp!G13</f>
        <v>-52465000</v>
      </c>
      <c r="I27" s="419"/>
      <c r="J27" s="388"/>
      <c r="K27" s="404"/>
      <c r="L27" s="404"/>
      <c r="M27" s="421">
        <f>-[39]domredemp!L13</f>
        <v>-1200137</v>
      </c>
      <c r="N27" s="419"/>
      <c r="O27" s="388"/>
      <c r="P27" s="404"/>
      <c r="Q27" s="404"/>
      <c r="R27" s="421">
        <f>-[39]domredemp!Q13</f>
        <v>-335047</v>
      </c>
      <c r="S27" s="419"/>
      <c r="T27" s="388"/>
      <c r="U27" s="404"/>
      <c r="V27" s="404"/>
      <c r="W27" s="421">
        <f>-[39]domredemp!V13</f>
        <v>-112559</v>
      </c>
      <c r="X27" s="419"/>
      <c r="Y27" s="388"/>
      <c r="Z27" s="404"/>
      <c r="AA27" s="404"/>
      <c r="AB27" s="421">
        <f>-[39]domredemp!AA13</f>
        <v>-339545</v>
      </c>
      <c r="AC27" s="419"/>
      <c r="AD27" s="388"/>
      <c r="AE27" s="404"/>
      <c r="AF27" s="404"/>
      <c r="AG27" s="421">
        <f>-[39]domredemp!AF13</f>
        <v>-212255</v>
      </c>
      <c r="AH27" s="419"/>
      <c r="AI27" s="388"/>
      <c r="AJ27" s="404"/>
      <c r="AK27" s="404"/>
      <c r="AL27" s="421">
        <f>-[39]domredemp!AK13</f>
        <v>-223023</v>
      </c>
      <c r="AM27" s="419"/>
      <c r="AN27" s="388"/>
      <c r="AO27" s="404"/>
      <c r="AP27" s="404"/>
      <c r="AQ27" s="424">
        <f>-[39]domredemp!AP13</f>
        <v>-333330</v>
      </c>
      <c r="AR27" s="419"/>
      <c r="AS27" s="388"/>
      <c r="AT27" s="404"/>
      <c r="AU27" s="404"/>
      <c r="AV27" s="424">
        <f>-[39]domredemp!AU13</f>
        <v>-314155</v>
      </c>
      <c r="AW27" s="419"/>
      <c r="AX27" s="388"/>
      <c r="AY27" s="404"/>
      <c r="AZ27" s="404"/>
      <c r="BA27" s="424">
        <f>-[39]domredemp!AZ13</f>
        <v>-59957</v>
      </c>
      <c r="BB27" s="419"/>
      <c r="BC27" s="388"/>
      <c r="BD27" s="404"/>
      <c r="BE27" s="404"/>
      <c r="BF27" s="424">
        <f>-[39]domredemp!BE13</f>
        <v>-397954</v>
      </c>
      <c r="BG27" s="419"/>
      <c r="BH27" s="388"/>
      <c r="BI27" s="404"/>
      <c r="BJ27" s="404"/>
      <c r="BK27" s="424">
        <f>-[39]domredemp!BJ13</f>
        <v>-281023</v>
      </c>
      <c r="BL27" s="419"/>
      <c r="BM27" s="388"/>
      <c r="BN27" s="404"/>
      <c r="BO27" s="404"/>
      <c r="BP27" s="423">
        <f>-[39]domredemp!BO13</f>
        <v>-49413606</v>
      </c>
      <c r="BQ27" s="419"/>
      <c r="BR27" s="388"/>
      <c r="BS27" s="404"/>
      <c r="BT27" s="404"/>
      <c r="BU27" s="424">
        <f>-[39]domredemp!BT13</f>
        <v>-53222591</v>
      </c>
      <c r="BV27" s="419"/>
      <c r="BW27" s="388"/>
      <c r="BX27" s="404"/>
      <c r="BY27" s="404"/>
      <c r="BZ27" s="421">
        <f>-[39]domredemp!CX13</f>
        <v>-317003</v>
      </c>
      <c r="CA27" s="419"/>
      <c r="CB27" s="388"/>
      <c r="CC27" s="404"/>
      <c r="CD27" s="404"/>
      <c r="CE27" s="421">
        <f>-[39]domredemp!DC13</f>
        <v>-464401</v>
      </c>
      <c r="CF27" s="419"/>
      <c r="CG27" s="388"/>
      <c r="CH27" s="404"/>
      <c r="CI27" s="404"/>
      <c r="CJ27" s="421">
        <f>-[39]domredemp!DH13</f>
        <v>-190972</v>
      </c>
      <c r="CK27" s="419"/>
      <c r="CL27" s="388"/>
      <c r="CM27" s="404"/>
      <c r="CN27" s="404"/>
      <c r="CO27" s="424">
        <f>-[39]domredemp!DM13</f>
        <v>-372701</v>
      </c>
      <c r="CP27" s="419"/>
      <c r="CQ27" s="388"/>
      <c r="CR27" s="404"/>
      <c r="CS27" s="404"/>
      <c r="CT27" s="423">
        <f>-[39]domredemp!DR13</f>
        <v>-335951</v>
      </c>
      <c r="CU27" s="419"/>
      <c r="CV27" s="388"/>
      <c r="CW27" s="404"/>
      <c r="CX27" s="404"/>
      <c r="CY27" s="424">
        <f>-[39]domredemp!DW13</f>
        <v>-16129719</v>
      </c>
      <c r="CZ27" s="419"/>
      <c r="DA27" s="388"/>
      <c r="DB27" s="404"/>
      <c r="DC27" s="404"/>
      <c r="DD27" s="423">
        <f>-[39]domredemp!EB13</f>
        <v>-239823</v>
      </c>
      <c r="DE27" s="419"/>
      <c r="DF27" s="388"/>
      <c r="DG27" s="398"/>
      <c r="DJ27" s="411"/>
      <c r="DK27" s="411" t="e">
        <f>#REF!-#REF!</f>
        <v>#REF!</v>
      </c>
    </row>
    <row r="28" spans="1:115" hidden="1" x14ac:dyDescent="0.3">
      <c r="A28" s="388"/>
      <c r="B28" s="388"/>
      <c r="C28" s="398" t="s">
        <v>336</v>
      </c>
      <c r="D28" s="388"/>
      <c r="E28" s="436">
        <v>4.2</v>
      </c>
      <c r="F28" s="437"/>
      <c r="G28" s="437"/>
      <c r="H28" s="424">
        <f>-[39]domredemp!G16+[39]domredemp!G124</f>
        <v>0</v>
      </c>
      <c r="I28" s="419"/>
      <c r="J28" s="388"/>
      <c r="K28" s="404"/>
      <c r="L28" s="404"/>
      <c r="M28" s="424">
        <f>-[39]domredemp!L16+[39]domredemp!L124</f>
        <v>0</v>
      </c>
      <c r="N28" s="419"/>
      <c r="O28" s="388"/>
      <c r="P28" s="404"/>
      <c r="Q28" s="404"/>
      <c r="R28" s="424">
        <f>-[39]domredemp!Q16+[39]domredemp!Q124</f>
        <v>0</v>
      </c>
      <c r="S28" s="419"/>
      <c r="T28" s="388"/>
      <c r="U28" s="404"/>
      <c r="V28" s="404"/>
      <c r="W28" s="424">
        <f>-[39]domredemp!V16+[39]domredemp!V124</f>
        <v>0</v>
      </c>
      <c r="X28" s="419"/>
      <c r="Y28" s="388"/>
      <c r="Z28" s="404"/>
      <c r="AA28" s="404"/>
      <c r="AB28" s="424">
        <f>-[39]domredemp!AA16+[39]domredemp!AA124</f>
        <v>0</v>
      </c>
      <c r="AC28" s="419"/>
      <c r="AD28" s="388"/>
      <c r="AE28" s="404"/>
      <c r="AF28" s="404"/>
      <c r="AG28" s="424">
        <f>-[39]domredemp!AF16+[39]domredemp!AF124</f>
        <v>0</v>
      </c>
      <c r="AH28" s="419"/>
      <c r="AI28" s="388"/>
      <c r="AJ28" s="404"/>
      <c r="AK28" s="404"/>
      <c r="AL28" s="424">
        <f>-[39]domredemp!AK16+[39]domredemp!AK124</f>
        <v>0</v>
      </c>
      <c r="AM28" s="419"/>
      <c r="AN28" s="388"/>
      <c r="AO28" s="404"/>
      <c r="AP28" s="404"/>
      <c r="AQ28" s="424">
        <f>-[39]domredemp!AP16+[39]domredemp!AP124</f>
        <v>0</v>
      </c>
      <c r="AR28" s="419"/>
      <c r="AS28" s="388"/>
      <c r="AT28" s="404"/>
      <c r="AU28" s="404"/>
      <c r="AV28" s="424">
        <f>-[39]domredemp!AU16+[39]domredemp!AU124</f>
        <v>0</v>
      </c>
      <c r="AW28" s="419"/>
      <c r="AX28" s="388"/>
      <c r="AY28" s="404"/>
      <c r="AZ28" s="404"/>
      <c r="BA28" s="424">
        <f>-[39]domredemp!AZ16+[39]domredemp!AZ124</f>
        <v>0</v>
      </c>
      <c r="BB28" s="419"/>
      <c r="BC28" s="388"/>
      <c r="BD28" s="404"/>
      <c r="BE28" s="404"/>
      <c r="BF28" s="424">
        <f>-[39]domredemp!BE16+[39]domredemp!BE124</f>
        <v>0</v>
      </c>
      <c r="BG28" s="419"/>
      <c r="BH28" s="388"/>
      <c r="BI28" s="404"/>
      <c r="BJ28" s="404"/>
      <c r="BK28" s="424">
        <f>-[39]domredemp!BJ16+[39]domredemp!BJ124</f>
        <v>0</v>
      </c>
      <c r="BL28" s="419"/>
      <c r="BM28" s="388"/>
      <c r="BN28" s="404"/>
      <c r="BO28" s="404"/>
      <c r="BP28" s="424">
        <f>-[39]domredemp!BO16+[39]domredemp!BO124</f>
        <v>0</v>
      </c>
      <c r="BQ28" s="419"/>
      <c r="BR28" s="388"/>
      <c r="BS28" s="404"/>
      <c r="BT28" s="404"/>
      <c r="BU28" s="424">
        <f>-[39]domredemp!BT16+[39]domredemp!BT124</f>
        <v>0</v>
      </c>
      <c r="BV28" s="419"/>
      <c r="BW28" s="388"/>
      <c r="BX28" s="404"/>
      <c r="BY28" s="404"/>
      <c r="BZ28" s="424">
        <f>-[39]domredemp!CX16+[39]domredemp!CX124</f>
        <v>0</v>
      </c>
      <c r="CA28" s="419"/>
      <c r="CB28" s="388"/>
      <c r="CC28" s="404"/>
      <c r="CD28" s="404"/>
      <c r="CE28" s="424">
        <f>-[39]domredemp!DC16+[39]domredemp!DC124</f>
        <v>0</v>
      </c>
      <c r="CF28" s="419"/>
      <c r="CG28" s="388"/>
      <c r="CH28" s="404"/>
      <c r="CI28" s="404"/>
      <c r="CJ28" s="424">
        <f>-[39]domredemp!DH16+[39]domredemp!DH124</f>
        <v>0</v>
      </c>
      <c r="CK28" s="419"/>
      <c r="CL28" s="388"/>
      <c r="CM28" s="404"/>
      <c r="CN28" s="404"/>
      <c r="CO28" s="424">
        <f>-[39]domredemp!DM16+[39]domredemp!DM124</f>
        <v>0</v>
      </c>
      <c r="CP28" s="419"/>
      <c r="CQ28" s="388"/>
      <c r="CR28" s="404"/>
      <c r="CS28" s="404"/>
      <c r="CT28" s="424">
        <f>-[39]domredemp!DR16+[39]domredemp!DR124</f>
        <v>0</v>
      </c>
      <c r="CU28" s="419"/>
      <c r="CV28" s="388"/>
      <c r="CW28" s="404"/>
      <c r="CX28" s="404"/>
      <c r="CY28" s="424">
        <f>-[39]domredemp!DW16+[39]domredemp!DW124</f>
        <v>0</v>
      </c>
      <c r="CZ28" s="419"/>
      <c r="DA28" s="388"/>
      <c r="DB28" s="404"/>
      <c r="DC28" s="404"/>
      <c r="DD28" s="424">
        <f>-[39]domredemp!EB16+[39]domredemp!EB124</f>
        <v>0</v>
      </c>
      <c r="DE28" s="419"/>
      <c r="DF28" s="388"/>
      <c r="DG28" s="398"/>
      <c r="DJ28" s="411"/>
      <c r="DK28" s="411" t="e">
        <f>#REF!-#REF!</f>
        <v>#REF!</v>
      </c>
    </row>
    <row r="29" spans="1:115" x14ac:dyDescent="0.3">
      <c r="A29" s="388"/>
      <c r="B29" s="388"/>
      <c r="C29" s="398"/>
      <c r="D29" s="388"/>
      <c r="E29" s="438"/>
      <c r="F29" s="439"/>
      <c r="G29" s="439"/>
      <c r="H29" s="388"/>
      <c r="I29" s="419"/>
      <c r="J29" s="388"/>
      <c r="K29" s="404"/>
      <c r="L29" s="404"/>
      <c r="M29" s="388"/>
      <c r="N29" s="419"/>
      <c r="O29" s="388"/>
      <c r="P29" s="404"/>
      <c r="Q29" s="404"/>
      <c r="R29" s="413"/>
      <c r="S29" s="419"/>
      <c r="T29" s="388"/>
      <c r="U29" s="404"/>
      <c r="V29" s="404"/>
      <c r="W29" s="413"/>
      <c r="X29" s="419"/>
      <c r="Y29" s="388"/>
      <c r="Z29" s="404"/>
      <c r="AA29" s="404"/>
      <c r="AB29" s="413"/>
      <c r="AC29" s="419"/>
      <c r="AD29" s="388"/>
      <c r="AE29" s="404"/>
      <c r="AF29" s="404"/>
      <c r="AG29" s="413"/>
      <c r="AH29" s="419"/>
      <c r="AI29" s="388"/>
      <c r="AJ29" s="404"/>
      <c r="AK29" s="404"/>
      <c r="AL29" s="388"/>
      <c r="AM29" s="419"/>
      <c r="AN29" s="388"/>
      <c r="AO29" s="404"/>
      <c r="AP29" s="404"/>
      <c r="AQ29" s="388"/>
      <c r="AR29" s="419"/>
      <c r="AS29" s="388"/>
      <c r="AT29" s="404"/>
      <c r="AU29" s="404"/>
      <c r="AV29" s="388"/>
      <c r="AW29" s="419"/>
      <c r="AX29" s="388"/>
      <c r="AY29" s="404"/>
      <c r="AZ29" s="404"/>
      <c r="BA29" s="388"/>
      <c r="BB29" s="419"/>
      <c r="BC29" s="388"/>
      <c r="BD29" s="404"/>
      <c r="BE29" s="404"/>
      <c r="BF29" s="388"/>
      <c r="BG29" s="419"/>
      <c r="BH29" s="388"/>
      <c r="BI29" s="404"/>
      <c r="BJ29" s="404"/>
      <c r="BK29" s="388"/>
      <c r="BL29" s="419"/>
      <c r="BM29" s="388"/>
      <c r="BN29" s="404"/>
      <c r="BO29" s="404"/>
      <c r="BP29" s="388"/>
      <c r="BQ29" s="419"/>
      <c r="BR29" s="388"/>
      <c r="BS29" s="404"/>
      <c r="BT29" s="404"/>
      <c r="BU29" s="388"/>
      <c r="BV29" s="419"/>
      <c r="BW29" s="388"/>
      <c r="BX29" s="404"/>
      <c r="BY29" s="404"/>
      <c r="BZ29" s="413"/>
      <c r="CA29" s="419"/>
      <c r="CB29" s="388"/>
      <c r="CC29" s="404"/>
      <c r="CD29" s="404"/>
      <c r="CE29" s="388"/>
      <c r="CF29" s="419"/>
      <c r="CG29" s="388"/>
      <c r="CH29" s="404"/>
      <c r="CI29" s="404"/>
      <c r="CJ29" s="388"/>
      <c r="CK29" s="419"/>
      <c r="CL29" s="388"/>
      <c r="CM29" s="404"/>
      <c r="CN29" s="404"/>
      <c r="CO29" s="388"/>
      <c r="CP29" s="419"/>
      <c r="CQ29" s="388"/>
      <c r="CR29" s="404"/>
      <c r="CS29" s="404"/>
      <c r="CT29" s="388"/>
      <c r="CU29" s="419"/>
      <c r="CV29" s="388"/>
      <c r="CW29" s="404"/>
      <c r="CX29" s="404"/>
      <c r="CY29" s="388"/>
      <c r="CZ29" s="419"/>
      <c r="DA29" s="388"/>
      <c r="DB29" s="404"/>
      <c r="DC29" s="404"/>
      <c r="DD29" s="388"/>
      <c r="DE29" s="419"/>
      <c r="DF29" s="388"/>
      <c r="DG29" s="398"/>
      <c r="DJ29" s="411"/>
      <c r="DK29" s="411" t="e">
        <f>#REF!-#REF!</f>
        <v>#REF!</v>
      </c>
    </row>
    <row r="30" spans="1:115" x14ac:dyDescent="0.3">
      <c r="A30" s="388"/>
      <c r="B30" s="388"/>
      <c r="C30" s="398" t="s">
        <v>337</v>
      </c>
      <c r="D30" s="388"/>
      <c r="E30" s="438"/>
      <c r="F30" s="439"/>
      <c r="G30" s="439"/>
      <c r="H30" s="388">
        <f>SUM(H31:H33)</f>
        <v>-42575</v>
      </c>
      <c r="I30" s="419"/>
      <c r="J30" s="388"/>
      <c r="K30" s="404"/>
      <c r="L30" s="404"/>
      <c r="M30" s="388">
        <f>SUM(M31:M33)</f>
        <v>0</v>
      </c>
      <c r="N30" s="419"/>
      <c r="O30" s="388"/>
      <c r="P30" s="404"/>
      <c r="Q30" s="404"/>
      <c r="R30" s="388">
        <f>SUM(R31:R33)</f>
        <v>0</v>
      </c>
      <c r="S30" s="419"/>
      <c r="T30" s="388"/>
      <c r="U30" s="404"/>
      <c r="V30" s="404"/>
      <c r="W30" s="388">
        <f>SUM(W31:W33)</f>
        <v>0</v>
      </c>
      <c r="X30" s="419"/>
      <c r="Y30" s="388"/>
      <c r="Z30" s="404"/>
      <c r="AA30" s="404"/>
      <c r="AB30" s="388">
        <f>SUM(AB31:AB33)</f>
        <v>0</v>
      </c>
      <c r="AC30" s="419"/>
      <c r="AD30" s="388"/>
      <c r="AE30" s="404"/>
      <c r="AF30" s="404"/>
      <c r="AG30" s="388">
        <f>SUM(AG31:AG33)</f>
        <v>0</v>
      </c>
      <c r="AH30" s="419"/>
      <c r="AI30" s="388"/>
      <c r="AJ30" s="404"/>
      <c r="AK30" s="404"/>
      <c r="AL30" s="388">
        <f>SUM(AL31:AL33)</f>
        <v>0</v>
      </c>
      <c r="AM30" s="419"/>
      <c r="AN30" s="388"/>
      <c r="AO30" s="404"/>
      <c r="AP30" s="404"/>
      <c r="AQ30" s="388">
        <f>SUM(AQ31:AQ33)</f>
        <v>0</v>
      </c>
      <c r="AR30" s="419"/>
      <c r="AS30" s="388"/>
      <c r="AT30" s="404"/>
      <c r="AU30" s="404"/>
      <c r="AV30" s="388">
        <f>SUM(AV31:AV33)</f>
        <v>0</v>
      </c>
      <c r="AW30" s="419"/>
      <c r="AX30" s="388"/>
      <c r="AY30" s="404"/>
      <c r="AZ30" s="404"/>
      <c r="BA30" s="388">
        <f>SUM(BA31:BA33)</f>
        <v>0</v>
      </c>
      <c r="BB30" s="419"/>
      <c r="BC30" s="388"/>
      <c r="BD30" s="404"/>
      <c r="BE30" s="404"/>
      <c r="BF30" s="388">
        <f>SUM(BF31:BF33)</f>
        <v>0</v>
      </c>
      <c r="BG30" s="419"/>
      <c r="BH30" s="388"/>
      <c r="BI30" s="404"/>
      <c r="BJ30" s="404"/>
      <c r="BK30" s="388">
        <f>SUM(BK31:BK33)</f>
        <v>41714</v>
      </c>
      <c r="BL30" s="419"/>
      <c r="BM30" s="388"/>
      <c r="BN30" s="404"/>
      <c r="BO30" s="404"/>
      <c r="BP30" s="388">
        <f>SUM(BP31:BP33)</f>
        <v>0</v>
      </c>
      <c r="BQ30" s="419"/>
      <c r="BR30" s="388"/>
      <c r="BS30" s="404"/>
      <c r="BT30" s="404"/>
      <c r="BU30" s="388">
        <f>SUM(BU31:BU33)</f>
        <v>41714</v>
      </c>
      <c r="BV30" s="419"/>
      <c r="BW30" s="388"/>
      <c r="BX30" s="404"/>
      <c r="BY30" s="404"/>
      <c r="BZ30" s="388">
        <f>SUM(BZ31:BZ33)</f>
        <v>0</v>
      </c>
      <c r="CA30" s="419"/>
      <c r="CB30" s="388"/>
      <c r="CC30" s="404"/>
      <c r="CD30" s="404"/>
      <c r="CE30" s="388">
        <f>SUM(CE31:CE33)</f>
        <v>0</v>
      </c>
      <c r="CF30" s="419"/>
      <c r="CG30" s="388"/>
      <c r="CH30" s="404"/>
      <c r="CI30" s="404"/>
      <c r="CJ30" s="388">
        <f>SUM(CJ31:CJ33)</f>
        <v>0</v>
      </c>
      <c r="CK30" s="419"/>
      <c r="CL30" s="388"/>
      <c r="CM30" s="404"/>
      <c r="CN30" s="404"/>
      <c r="CO30" s="388">
        <f>SUM(CO31:CO33)</f>
        <v>0</v>
      </c>
      <c r="CP30" s="419"/>
      <c r="CQ30" s="388"/>
      <c r="CR30" s="404"/>
      <c r="CS30" s="404"/>
      <c r="CT30" s="388">
        <f>SUM(CT31:CT33)</f>
        <v>0</v>
      </c>
      <c r="CU30" s="419"/>
      <c r="CV30" s="388"/>
      <c r="CW30" s="404"/>
      <c r="CX30" s="404"/>
      <c r="CY30" s="388">
        <f>SUM(CY31:CY33)</f>
        <v>0</v>
      </c>
      <c r="CZ30" s="419"/>
      <c r="DA30" s="388"/>
      <c r="DB30" s="404"/>
      <c r="DC30" s="404"/>
      <c r="DD30" s="388">
        <f>SUM(DD31:DD33)</f>
        <v>0</v>
      </c>
      <c r="DE30" s="419"/>
      <c r="DF30" s="388"/>
      <c r="DG30" s="398"/>
      <c r="DJ30" s="411"/>
      <c r="DK30" s="411" t="e">
        <f>#REF!-#REF!</f>
        <v>#REF!</v>
      </c>
    </row>
    <row r="31" spans="1:115" x14ac:dyDescent="0.3">
      <c r="A31" s="388"/>
      <c r="B31" s="388"/>
      <c r="C31" s="398" t="s">
        <v>338</v>
      </c>
      <c r="D31" s="388"/>
      <c r="E31" s="436" t="s">
        <v>332</v>
      </c>
      <c r="F31" s="437"/>
      <c r="G31" s="437"/>
      <c r="H31" s="420">
        <f>[39]domlongtermissues!G14</f>
        <v>5243353</v>
      </c>
      <c r="I31" s="419"/>
      <c r="J31" s="388"/>
      <c r="K31" s="404"/>
      <c r="L31" s="404"/>
      <c r="M31" s="420">
        <f>[39]domlongtermissues!L14</f>
        <v>0</v>
      </c>
      <c r="N31" s="419"/>
      <c r="O31" s="388"/>
      <c r="P31" s="404"/>
      <c r="Q31" s="404"/>
      <c r="R31" s="420">
        <f>[39]domlongtermissues!Q14</f>
        <v>0</v>
      </c>
      <c r="S31" s="419"/>
      <c r="T31" s="388"/>
      <c r="U31" s="404"/>
      <c r="V31" s="404"/>
      <c r="W31" s="420">
        <f>[39]domlongtermissues!V14</f>
        <v>0</v>
      </c>
      <c r="X31" s="419"/>
      <c r="Y31" s="388"/>
      <c r="Z31" s="404"/>
      <c r="AA31" s="404"/>
      <c r="AB31" s="420">
        <f>[39]domlongtermissues!AA14</f>
        <v>0</v>
      </c>
      <c r="AC31" s="419"/>
      <c r="AD31" s="388"/>
      <c r="AE31" s="404"/>
      <c r="AF31" s="404"/>
      <c r="AG31" s="420">
        <f>[39]domlongtermissues!AF14</f>
        <v>0</v>
      </c>
      <c r="AH31" s="419"/>
      <c r="AI31" s="388"/>
      <c r="AJ31" s="404"/>
      <c r="AK31" s="404"/>
      <c r="AL31" s="420">
        <f>[39]domlongtermissues!AK14</f>
        <v>0</v>
      </c>
      <c r="AM31" s="419"/>
      <c r="AN31" s="388"/>
      <c r="AO31" s="404"/>
      <c r="AP31" s="404"/>
      <c r="AQ31" s="420">
        <f>[39]domlongtermissues!AP14</f>
        <v>0</v>
      </c>
      <c r="AR31" s="419"/>
      <c r="AS31" s="388"/>
      <c r="AT31" s="404"/>
      <c r="AU31" s="404"/>
      <c r="AV31" s="420">
        <f>[39]domlongtermissues!AU14</f>
        <v>0</v>
      </c>
      <c r="AW31" s="419"/>
      <c r="AX31" s="388"/>
      <c r="AY31" s="404"/>
      <c r="AZ31" s="404"/>
      <c r="BA31" s="420">
        <f>[39]domlongtermissues!AZ14</f>
        <v>0</v>
      </c>
      <c r="BB31" s="419"/>
      <c r="BC31" s="388"/>
      <c r="BD31" s="404"/>
      <c r="BE31" s="404"/>
      <c r="BF31" s="420">
        <f>[39]domlongtermissues!BE14</f>
        <v>0</v>
      </c>
      <c r="BG31" s="419"/>
      <c r="BH31" s="388"/>
      <c r="BI31" s="404"/>
      <c r="BJ31" s="404"/>
      <c r="BK31" s="420">
        <f>[39]domlongtermissues!BJ14</f>
        <v>7577210</v>
      </c>
      <c r="BL31" s="419"/>
      <c r="BM31" s="388"/>
      <c r="BN31" s="404"/>
      <c r="BO31" s="404"/>
      <c r="BP31" s="420">
        <f>[39]domlongtermissues!BO14</f>
        <v>0</v>
      </c>
      <c r="BQ31" s="419"/>
      <c r="BR31" s="388"/>
      <c r="BS31" s="404"/>
      <c r="BT31" s="404"/>
      <c r="BU31" s="420">
        <f>[39]domlongtermissues!BT14</f>
        <v>7577210</v>
      </c>
      <c r="BV31" s="419"/>
      <c r="BW31" s="388"/>
      <c r="BX31" s="404"/>
      <c r="BY31" s="404"/>
      <c r="BZ31" s="420">
        <f>[39]domlongtermissues!CX14</f>
        <v>0</v>
      </c>
      <c r="CA31" s="419"/>
      <c r="CB31" s="388"/>
      <c r="CC31" s="404"/>
      <c r="CD31" s="404"/>
      <c r="CE31" s="420">
        <f>[39]domlongtermissues!DC14</f>
        <v>0</v>
      </c>
      <c r="CF31" s="419"/>
      <c r="CG31" s="388"/>
      <c r="CH31" s="404"/>
      <c r="CI31" s="404"/>
      <c r="CJ31" s="420">
        <f>[39]domlongtermissues!DH14</f>
        <v>0</v>
      </c>
      <c r="CK31" s="419"/>
      <c r="CL31" s="388"/>
      <c r="CM31" s="404"/>
      <c r="CN31" s="404"/>
      <c r="CO31" s="420">
        <f>[39]domlongtermissues!DM14</f>
        <v>0</v>
      </c>
      <c r="CP31" s="419"/>
      <c r="CQ31" s="388"/>
      <c r="CR31" s="404"/>
      <c r="CS31" s="404"/>
      <c r="CT31" s="420">
        <f>[39]domlongtermissues!DR14</f>
        <v>0</v>
      </c>
      <c r="CU31" s="419"/>
      <c r="CV31" s="388"/>
      <c r="CW31" s="404"/>
      <c r="CX31" s="404"/>
      <c r="CY31" s="420">
        <f>[39]domlongtermissues!DW14</f>
        <v>0</v>
      </c>
      <c r="CZ31" s="419"/>
      <c r="DA31" s="388"/>
      <c r="DB31" s="404"/>
      <c r="DC31" s="404"/>
      <c r="DD31" s="420">
        <f>[39]domlongtermissues!EB14</f>
        <v>0</v>
      </c>
      <c r="DE31" s="419"/>
      <c r="DF31" s="388"/>
      <c r="DG31" s="398"/>
      <c r="DJ31" s="411"/>
      <c r="DK31" s="411" t="e">
        <f>#REF!-#REF!</f>
        <v>#REF!</v>
      </c>
    </row>
    <row r="32" spans="1:115" x14ac:dyDescent="0.3">
      <c r="A32" s="388"/>
      <c r="B32" s="388"/>
      <c r="C32" s="398" t="s">
        <v>339</v>
      </c>
      <c r="D32" s="388"/>
      <c r="E32" s="436" t="s">
        <v>332</v>
      </c>
      <c r="F32" s="437"/>
      <c r="G32" s="437"/>
      <c r="H32" s="421">
        <f>-[39]domlongtermissues!G217</f>
        <v>-405928</v>
      </c>
      <c r="I32" s="419"/>
      <c r="J32" s="388"/>
      <c r="K32" s="404"/>
      <c r="L32" s="404"/>
      <c r="M32" s="421">
        <f>-[39]domlongtermissues!L217</f>
        <v>0</v>
      </c>
      <c r="N32" s="419"/>
      <c r="O32" s="388"/>
      <c r="P32" s="404"/>
      <c r="Q32" s="404"/>
      <c r="R32" s="421">
        <f>-[39]domlongtermissues!Q217</f>
        <v>0</v>
      </c>
      <c r="S32" s="419"/>
      <c r="T32" s="388"/>
      <c r="U32" s="404"/>
      <c r="V32" s="404"/>
      <c r="W32" s="421">
        <f>-[39]domlongtermissues!V217</f>
        <v>0</v>
      </c>
      <c r="X32" s="419"/>
      <c r="Y32" s="388"/>
      <c r="Z32" s="404"/>
      <c r="AA32" s="404"/>
      <c r="AB32" s="421">
        <f>-[39]domlongtermissues!AA217</f>
        <v>0</v>
      </c>
      <c r="AC32" s="419"/>
      <c r="AD32" s="388"/>
      <c r="AE32" s="404"/>
      <c r="AF32" s="404"/>
      <c r="AG32" s="421">
        <f>-[39]domlongtermissues!AF217</f>
        <v>0</v>
      </c>
      <c r="AH32" s="419"/>
      <c r="AI32" s="388"/>
      <c r="AJ32" s="404"/>
      <c r="AK32" s="404"/>
      <c r="AL32" s="421">
        <f>-[39]domlongtermissues!AK217</f>
        <v>0</v>
      </c>
      <c r="AM32" s="419"/>
      <c r="AN32" s="388"/>
      <c r="AO32" s="404"/>
      <c r="AP32" s="404"/>
      <c r="AQ32" s="421">
        <f>-[39]domlongtermissues!AP217</f>
        <v>0</v>
      </c>
      <c r="AR32" s="419"/>
      <c r="AS32" s="388"/>
      <c r="AT32" s="404"/>
      <c r="AU32" s="404"/>
      <c r="AV32" s="421">
        <f>-[39]domlongtermissues!AU217</f>
        <v>0</v>
      </c>
      <c r="AW32" s="419"/>
      <c r="AX32" s="388"/>
      <c r="AY32" s="404"/>
      <c r="AZ32" s="404"/>
      <c r="BA32" s="421">
        <f>-[39]domlongtermissues!AZ217</f>
        <v>0</v>
      </c>
      <c r="BB32" s="419"/>
      <c r="BC32" s="388"/>
      <c r="BD32" s="404"/>
      <c r="BE32" s="404"/>
      <c r="BF32" s="421">
        <f>-[39]domlongtermissues!BE217</f>
        <v>0</v>
      </c>
      <c r="BG32" s="419"/>
      <c r="BH32" s="388"/>
      <c r="BI32" s="404"/>
      <c r="BJ32" s="404"/>
      <c r="BK32" s="421">
        <f>-[39]domlongtermissues!BJ217</f>
        <v>-730496</v>
      </c>
      <c r="BL32" s="419"/>
      <c r="BM32" s="388"/>
      <c r="BN32" s="404"/>
      <c r="BO32" s="404"/>
      <c r="BP32" s="421">
        <f>-[39]domlongtermissues!BO217</f>
        <v>0</v>
      </c>
      <c r="BQ32" s="419"/>
      <c r="BR32" s="388"/>
      <c r="BS32" s="404"/>
      <c r="BT32" s="404"/>
      <c r="BU32" s="421">
        <f>-[39]domlongtermissues!BT217</f>
        <v>-730496</v>
      </c>
      <c r="BV32" s="419"/>
      <c r="BW32" s="388"/>
      <c r="BX32" s="404"/>
      <c r="BY32" s="404"/>
      <c r="BZ32" s="421">
        <f>-[39]domlongtermissues!CX217</f>
        <v>0</v>
      </c>
      <c r="CA32" s="419"/>
      <c r="CB32" s="388"/>
      <c r="CC32" s="404"/>
      <c r="CD32" s="404"/>
      <c r="CE32" s="421">
        <f>-[39]domlongtermissues!DC217</f>
        <v>0</v>
      </c>
      <c r="CF32" s="419"/>
      <c r="CG32" s="388"/>
      <c r="CH32" s="404"/>
      <c r="CI32" s="404"/>
      <c r="CJ32" s="421">
        <f>-[39]domlongtermissues!DH217</f>
        <v>0</v>
      </c>
      <c r="CK32" s="419"/>
      <c r="CL32" s="388"/>
      <c r="CM32" s="404"/>
      <c r="CN32" s="404"/>
      <c r="CO32" s="421">
        <f>-[39]domlongtermissues!DM217</f>
        <v>0</v>
      </c>
      <c r="CP32" s="419"/>
      <c r="CQ32" s="388"/>
      <c r="CR32" s="404"/>
      <c r="CS32" s="404"/>
      <c r="CT32" s="421">
        <f>-[39]domlongtermissues!DR217</f>
        <v>0</v>
      </c>
      <c r="CU32" s="419"/>
      <c r="CV32" s="388"/>
      <c r="CW32" s="404"/>
      <c r="CX32" s="404"/>
      <c r="CY32" s="421">
        <f>-[39]domlongtermissues!DW217</f>
        <v>0</v>
      </c>
      <c r="CZ32" s="419"/>
      <c r="DA32" s="388"/>
      <c r="DB32" s="404"/>
      <c r="DC32" s="404"/>
      <c r="DD32" s="421">
        <f>-[39]domlongtermissues!EB217</f>
        <v>0</v>
      </c>
      <c r="DE32" s="419"/>
      <c r="DF32" s="388"/>
      <c r="DG32" s="398"/>
      <c r="DJ32" s="411"/>
      <c r="DK32" s="411" t="e">
        <f>#REF!-#REF!</f>
        <v>#REF!</v>
      </c>
    </row>
    <row r="33" spans="1:115" x14ac:dyDescent="0.3">
      <c r="A33" s="388"/>
      <c r="B33" s="388"/>
      <c r="C33" s="398" t="s">
        <v>340</v>
      </c>
      <c r="D33" s="388"/>
      <c r="E33" s="436" t="s">
        <v>335</v>
      </c>
      <c r="F33" s="437"/>
      <c r="G33" s="437"/>
      <c r="H33" s="424">
        <f>-[39]domredemp!G14+[39]domredemp!G32</f>
        <v>-4880000</v>
      </c>
      <c r="I33" s="419"/>
      <c r="J33" s="388"/>
      <c r="K33" s="404"/>
      <c r="L33" s="404"/>
      <c r="M33" s="424">
        <f>-[39]domredemp!L14+[39]domredemp!L32</f>
        <v>0</v>
      </c>
      <c r="N33" s="419"/>
      <c r="O33" s="388"/>
      <c r="P33" s="404"/>
      <c r="Q33" s="404"/>
      <c r="R33" s="424">
        <f>-[39]domredemp!Q14+[39]domredemp!Q32</f>
        <v>0</v>
      </c>
      <c r="S33" s="419"/>
      <c r="T33" s="388"/>
      <c r="U33" s="404"/>
      <c r="V33" s="404"/>
      <c r="W33" s="424">
        <f>-[39]domredemp!V14+[39]domredemp!V32</f>
        <v>0</v>
      </c>
      <c r="X33" s="419"/>
      <c r="Y33" s="388"/>
      <c r="Z33" s="404"/>
      <c r="AA33" s="404"/>
      <c r="AB33" s="424">
        <f>-[39]domredemp!AA14+[39]domredemp!AA32</f>
        <v>0</v>
      </c>
      <c r="AC33" s="419"/>
      <c r="AD33" s="388"/>
      <c r="AE33" s="404"/>
      <c r="AF33" s="404"/>
      <c r="AG33" s="424">
        <f>-[39]domredemp!AF14+[39]domredemp!AF32</f>
        <v>0</v>
      </c>
      <c r="AH33" s="419"/>
      <c r="AI33" s="388"/>
      <c r="AJ33" s="404"/>
      <c r="AK33" s="404"/>
      <c r="AL33" s="424">
        <f>-[39]domredemp!AK14+[39]domredemp!AK32</f>
        <v>0</v>
      </c>
      <c r="AM33" s="419"/>
      <c r="AN33" s="388"/>
      <c r="AO33" s="404"/>
      <c r="AP33" s="404"/>
      <c r="AQ33" s="424">
        <f>-[39]domredemp!AP14+[39]domredemp!AP32</f>
        <v>0</v>
      </c>
      <c r="AR33" s="419"/>
      <c r="AS33" s="388"/>
      <c r="AT33" s="404"/>
      <c r="AU33" s="404"/>
      <c r="AV33" s="424">
        <f>-[39]domredemp!AU14+[39]domredemp!AU32</f>
        <v>0</v>
      </c>
      <c r="AW33" s="419"/>
      <c r="AX33" s="388"/>
      <c r="AY33" s="404"/>
      <c r="AZ33" s="404"/>
      <c r="BA33" s="424">
        <f>-[39]domredemp!AZ14+[39]domredemp!AZ32</f>
        <v>0</v>
      </c>
      <c r="BB33" s="419"/>
      <c r="BC33" s="388"/>
      <c r="BD33" s="404"/>
      <c r="BE33" s="404"/>
      <c r="BF33" s="424">
        <f>-[39]domredemp!BE14+[39]domredemp!BE32</f>
        <v>0</v>
      </c>
      <c r="BG33" s="419"/>
      <c r="BH33" s="388"/>
      <c r="BI33" s="404"/>
      <c r="BJ33" s="404"/>
      <c r="BK33" s="424">
        <f>-[39]domredemp!BJ14+[39]domredemp!BJ32</f>
        <v>-6805000</v>
      </c>
      <c r="BL33" s="419"/>
      <c r="BM33" s="388"/>
      <c r="BN33" s="404"/>
      <c r="BO33" s="404"/>
      <c r="BP33" s="424">
        <f>-[39]domredemp!BO14+[39]domredemp!BO32</f>
        <v>0</v>
      </c>
      <c r="BQ33" s="419"/>
      <c r="BR33" s="388"/>
      <c r="BS33" s="404"/>
      <c r="BT33" s="404"/>
      <c r="BU33" s="424">
        <f>-[39]domredemp!BT14+[39]domredemp!BT32</f>
        <v>-6805000</v>
      </c>
      <c r="BV33" s="419"/>
      <c r="BW33" s="388"/>
      <c r="BX33" s="404"/>
      <c r="BY33" s="404"/>
      <c r="BZ33" s="424">
        <f>-[39]domredemp!CX14+[39]domredemp!CX32</f>
        <v>0</v>
      </c>
      <c r="CA33" s="419"/>
      <c r="CB33" s="388"/>
      <c r="CC33" s="404"/>
      <c r="CD33" s="404"/>
      <c r="CE33" s="424">
        <f>-[39]domredemp!DC14+[39]domredemp!DC32</f>
        <v>0</v>
      </c>
      <c r="CF33" s="419"/>
      <c r="CG33" s="388"/>
      <c r="CH33" s="404"/>
      <c r="CI33" s="404"/>
      <c r="CJ33" s="424">
        <f>-[39]domredemp!DH14+[39]domredemp!DH32</f>
        <v>0</v>
      </c>
      <c r="CK33" s="419"/>
      <c r="CL33" s="388"/>
      <c r="CM33" s="404"/>
      <c r="CN33" s="404"/>
      <c r="CO33" s="424">
        <f>-[39]domredemp!DM14+[39]domredemp!DM32</f>
        <v>0</v>
      </c>
      <c r="CP33" s="419"/>
      <c r="CQ33" s="388"/>
      <c r="CR33" s="404"/>
      <c r="CS33" s="404"/>
      <c r="CT33" s="424">
        <f>-[39]domredemp!DR14+[39]domredemp!DR32</f>
        <v>0</v>
      </c>
      <c r="CU33" s="419"/>
      <c r="CV33" s="388"/>
      <c r="CW33" s="404"/>
      <c r="CX33" s="404"/>
      <c r="CY33" s="424">
        <f>-[39]domredemp!DW14+[39]domredemp!DW32</f>
        <v>0</v>
      </c>
      <c r="CZ33" s="419"/>
      <c r="DA33" s="388"/>
      <c r="DB33" s="404"/>
      <c r="DC33" s="404"/>
      <c r="DD33" s="424">
        <f>-[39]domredemp!EB14+[39]domredemp!EB32</f>
        <v>0</v>
      </c>
      <c r="DE33" s="419"/>
      <c r="DF33" s="388"/>
      <c r="DG33" s="398"/>
      <c r="DJ33" s="411"/>
      <c r="DK33" s="411" t="e">
        <f>#REF!-#REF!</f>
        <v>#REF!</v>
      </c>
    </row>
    <row r="34" spans="1:115" x14ac:dyDescent="0.3">
      <c r="A34" s="388"/>
      <c r="B34" s="388"/>
      <c r="C34" s="398"/>
      <c r="D34" s="388"/>
      <c r="E34" s="436"/>
      <c r="F34" s="437"/>
      <c r="G34" s="437"/>
      <c r="H34" s="388"/>
      <c r="I34" s="419"/>
      <c r="J34" s="388"/>
      <c r="K34" s="404"/>
      <c r="L34" s="404"/>
      <c r="M34" s="388"/>
      <c r="N34" s="419"/>
      <c r="O34" s="388"/>
      <c r="P34" s="404"/>
      <c r="Q34" s="404"/>
      <c r="R34" s="388"/>
      <c r="S34" s="419"/>
      <c r="T34" s="388"/>
      <c r="U34" s="404"/>
      <c r="V34" s="404"/>
      <c r="W34" s="388"/>
      <c r="X34" s="419"/>
      <c r="Y34" s="388"/>
      <c r="Z34" s="404"/>
      <c r="AA34" s="404"/>
      <c r="AB34" s="388"/>
      <c r="AC34" s="419"/>
      <c r="AD34" s="388"/>
      <c r="AE34" s="404"/>
      <c r="AF34" s="404"/>
      <c r="AG34" s="388"/>
      <c r="AH34" s="419"/>
      <c r="AI34" s="388"/>
      <c r="AJ34" s="404"/>
      <c r="AK34" s="404"/>
      <c r="AL34" s="388"/>
      <c r="AM34" s="419"/>
      <c r="AN34" s="388"/>
      <c r="AO34" s="404"/>
      <c r="AP34" s="404"/>
      <c r="AQ34" s="388"/>
      <c r="AR34" s="419"/>
      <c r="AS34" s="388"/>
      <c r="AT34" s="404"/>
      <c r="AU34" s="404"/>
      <c r="AV34" s="388"/>
      <c r="AW34" s="419"/>
      <c r="AX34" s="388"/>
      <c r="AY34" s="404"/>
      <c r="AZ34" s="404"/>
      <c r="BA34" s="388"/>
      <c r="BB34" s="419"/>
      <c r="BC34" s="388"/>
      <c r="BD34" s="404"/>
      <c r="BE34" s="404"/>
      <c r="BF34" s="388"/>
      <c r="BG34" s="419"/>
      <c r="BH34" s="388"/>
      <c r="BI34" s="404"/>
      <c r="BJ34" s="404"/>
      <c r="BK34" s="388"/>
      <c r="BL34" s="419"/>
      <c r="BM34" s="388"/>
      <c r="BN34" s="404"/>
      <c r="BO34" s="404"/>
      <c r="BP34" s="388"/>
      <c r="BQ34" s="419"/>
      <c r="BR34" s="388"/>
      <c r="BS34" s="404"/>
      <c r="BT34" s="404"/>
      <c r="BU34" s="388"/>
      <c r="BV34" s="419"/>
      <c r="BW34" s="388"/>
      <c r="BX34" s="404"/>
      <c r="BY34" s="404"/>
      <c r="BZ34" s="388"/>
      <c r="CA34" s="419"/>
      <c r="CB34" s="388"/>
      <c r="CC34" s="404"/>
      <c r="CD34" s="404"/>
      <c r="CE34" s="388"/>
      <c r="CF34" s="419"/>
      <c r="CG34" s="388"/>
      <c r="CH34" s="404"/>
      <c r="CI34" s="404"/>
      <c r="CJ34" s="388"/>
      <c r="CK34" s="419"/>
      <c r="CL34" s="388"/>
      <c r="CM34" s="404"/>
      <c r="CN34" s="404"/>
      <c r="CO34" s="388"/>
      <c r="CP34" s="419"/>
      <c r="CQ34" s="388"/>
      <c r="CR34" s="404"/>
      <c r="CS34" s="404"/>
      <c r="CT34" s="388"/>
      <c r="CU34" s="419"/>
      <c r="CV34" s="388"/>
      <c r="CW34" s="404"/>
      <c r="CX34" s="404"/>
      <c r="CY34" s="388"/>
      <c r="CZ34" s="419"/>
      <c r="DA34" s="388"/>
      <c r="DB34" s="404"/>
      <c r="DC34" s="404"/>
      <c r="DD34" s="388"/>
      <c r="DE34" s="419"/>
      <c r="DF34" s="388"/>
      <c r="DG34" s="398"/>
      <c r="DJ34" s="411"/>
      <c r="DK34" s="411" t="e">
        <f>#REF!-#REF!</f>
        <v>#REF!</v>
      </c>
    </row>
    <row r="35" spans="1:115" x14ac:dyDescent="0.3">
      <c r="A35" s="388"/>
      <c r="B35" s="388"/>
      <c r="C35" s="398" t="s">
        <v>341</v>
      </c>
      <c r="D35" s="388"/>
      <c r="E35" s="438"/>
      <c r="F35" s="439"/>
      <c r="G35" s="439"/>
      <c r="H35" s="388">
        <f>SUM(H36:H37)</f>
        <v>0</v>
      </c>
      <c r="I35" s="419"/>
      <c r="J35" s="388"/>
      <c r="K35" s="404"/>
      <c r="L35" s="404"/>
      <c r="M35" s="388">
        <f>SUM(M36:M37)</f>
        <v>0</v>
      </c>
      <c r="N35" s="419"/>
      <c r="O35" s="388"/>
      <c r="P35" s="404"/>
      <c r="Q35" s="404"/>
      <c r="R35" s="388">
        <f>SUM(R36:R37)</f>
        <v>0</v>
      </c>
      <c r="S35" s="419"/>
      <c r="T35" s="388"/>
      <c r="U35" s="404"/>
      <c r="V35" s="404"/>
      <c r="W35" s="388">
        <f>SUM(W36:W37)</f>
        <v>0</v>
      </c>
      <c r="X35" s="419"/>
      <c r="Y35" s="388"/>
      <c r="Z35" s="404"/>
      <c r="AA35" s="404"/>
      <c r="AB35" s="388">
        <f>SUM(AB36:AB37)</f>
        <v>0</v>
      </c>
      <c r="AC35" s="419"/>
      <c r="AD35" s="388"/>
      <c r="AE35" s="404"/>
      <c r="AF35" s="404"/>
      <c r="AG35" s="388">
        <f>SUM(AG36:AG37)</f>
        <v>0</v>
      </c>
      <c r="AH35" s="419"/>
      <c r="AI35" s="388"/>
      <c r="AJ35" s="404"/>
      <c r="AK35" s="404"/>
      <c r="AL35" s="388">
        <f>SUM(AL36:AL37)</f>
        <v>0</v>
      </c>
      <c r="AM35" s="419"/>
      <c r="AN35" s="388"/>
      <c r="AO35" s="404"/>
      <c r="AP35" s="404"/>
      <c r="AQ35" s="388">
        <f>SUM(AQ36:AQ37)</f>
        <v>0</v>
      </c>
      <c r="AR35" s="419"/>
      <c r="AS35" s="388"/>
      <c r="AT35" s="404"/>
      <c r="AU35" s="404"/>
      <c r="AV35" s="388">
        <f>SUM(AV36:AV37)</f>
        <v>85877</v>
      </c>
      <c r="AW35" s="419"/>
      <c r="AX35" s="388"/>
      <c r="AY35" s="404"/>
      <c r="AZ35" s="404"/>
      <c r="BA35" s="388">
        <f>SUM(BA36:BA37)</f>
        <v>-85877</v>
      </c>
      <c r="BB35" s="419"/>
      <c r="BC35" s="388"/>
      <c r="BD35" s="404"/>
      <c r="BE35" s="404"/>
      <c r="BF35" s="388">
        <f>SUM(BF36:BF37)</f>
        <v>0</v>
      </c>
      <c r="BG35" s="419"/>
      <c r="BH35" s="388"/>
      <c r="BI35" s="404"/>
      <c r="BJ35" s="404"/>
      <c r="BK35" s="388">
        <f>SUM(BK36:BK37)</f>
        <v>0</v>
      </c>
      <c r="BL35" s="419"/>
      <c r="BM35" s="388"/>
      <c r="BN35" s="404"/>
      <c r="BO35" s="404"/>
      <c r="BP35" s="388">
        <f>SUM(BP36:BP37)</f>
        <v>0</v>
      </c>
      <c r="BQ35" s="419"/>
      <c r="BR35" s="388"/>
      <c r="BS35" s="404"/>
      <c r="BT35" s="404"/>
      <c r="BU35" s="388">
        <f>SUM(BU36:BU37)</f>
        <v>0</v>
      </c>
      <c r="BV35" s="419"/>
      <c r="BW35" s="388"/>
      <c r="BX35" s="404"/>
      <c r="BY35" s="404"/>
      <c r="BZ35" s="388">
        <f>SUM(BZ36:BZ37)</f>
        <v>0</v>
      </c>
      <c r="CA35" s="419"/>
      <c r="CB35" s="388"/>
      <c r="CC35" s="404"/>
      <c r="CD35" s="404"/>
      <c r="CE35" s="388">
        <f>SUM(CE36:CE37)</f>
        <v>0</v>
      </c>
      <c r="CF35" s="419"/>
      <c r="CG35" s="388"/>
      <c r="CH35" s="404"/>
      <c r="CI35" s="404"/>
      <c r="CJ35" s="388">
        <f>SUM(CJ36:CJ37)</f>
        <v>0</v>
      </c>
      <c r="CK35" s="419"/>
      <c r="CL35" s="388"/>
      <c r="CM35" s="404"/>
      <c r="CN35" s="404"/>
      <c r="CO35" s="388">
        <f>SUM(CO36:CO37)</f>
        <v>0</v>
      </c>
      <c r="CP35" s="419"/>
      <c r="CQ35" s="388"/>
      <c r="CR35" s="404"/>
      <c r="CS35" s="404"/>
      <c r="CT35" s="388">
        <f>SUM(CT36:CT37)</f>
        <v>0</v>
      </c>
      <c r="CU35" s="419"/>
      <c r="CV35" s="388"/>
      <c r="CW35" s="404"/>
      <c r="CX35" s="404"/>
      <c r="CY35" s="388">
        <f>SUM(CY36:CY37)</f>
        <v>0</v>
      </c>
      <c r="CZ35" s="419"/>
      <c r="DA35" s="388"/>
      <c r="DB35" s="404"/>
      <c r="DC35" s="404"/>
      <c r="DD35" s="388">
        <f>SUM(DD36:DD37)</f>
        <v>0</v>
      </c>
      <c r="DE35" s="419"/>
      <c r="DF35" s="388"/>
      <c r="DG35" s="398"/>
      <c r="DJ35" s="411"/>
      <c r="DK35" s="411" t="e">
        <f>#REF!-#REF!</f>
        <v>#REF!</v>
      </c>
    </row>
    <row r="36" spans="1:115" x14ac:dyDescent="0.3">
      <c r="A36" s="388"/>
      <c r="B36" s="388"/>
      <c r="C36" s="398" t="s">
        <v>342</v>
      </c>
      <c r="D36" s="388"/>
      <c r="E36" s="436" t="s">
        <v>332</v>
      </c>
      <c r="F36" s="437"/>
      <c r="G36" s="437"/>
      <c r="H36" s="420">
        <f>[39]domlongtermissues!G15</f>
        <v>1028268</v>
      </c>
      <c r="I36" s="419"/>
      <c r="J36" s="388"/>
      <c r="K36" s="404"/>
      <c r="L36" s="404"/>
      <c r="M36" s="420">
        <f>[39]domlongtermissues!L15</f>
        <v>487336</v>
      </c>
      <c r="N36" s="419"/>
      <c r="O36" s="388"/>
      <c r="P36" s="404"/>
      <c r="Q36" s="404"/>
      <c r="R36" s="420">
        <f>[39]domlongtermissues!Q15</f>
        <v>29682</v>
      </c>
      <c r="S36" s="419"/>
      <c r="T36" s="388"/>
      <c r="U36" s="404"/>
      <c r="V36" s="404"/>
      <c r="W36" s="420">
        <f>[39]domlongtermissues!V15</f>
        <v>28489</v>
      </c>
      <c r="X36" s="419"/>
      <c r="Y36" s="388"/>
      <c r="Z36" s="404"/>
      <c r="AA36" s="404"/>
      <c r="AB36" s="420">
        <f>[39]domlongtermissues!AA15</f>
        <v>0</v>
      </c>
      <c r="AC36" s="419"/>
      <c r="AD36" s="388"/>
      <c r="AE36" s="404"/>
      <c r="AF36" s="404"/>
      <c r="AG36" s="420">
        <f>[39]domlongtermissues!AF15</f>
        <v>41191</v>
      </c>
      <c r="AH36" s="419"/>
      <c r="AI36" s="388"/>
      <c r="AJ36" s="404"/>
      <c r="AK36" s="404"/>
      <c r="AL36" s="420">
        <f>[39]domlongtermissues!AK15</f>
        <v>18552</v>
      </c>
      <c r="AM36" s="419"/>
      <c r="AN36" s="388"/>
      <c r="AO36" s="404"/>
      <c r="AP36" s="404"/>
      <c r="AQ36" s="420">
        <f>[39]domlongtermissues!AP15</f>
        <v>0</v>
      </c>
      <c r="AR36" s="419"/>
      <c r="AS36" s="388"/>
      <c r="AT36" s="404"/>
      <c r="AU36" s="404"/>
      <c r="AV36" s="420">
        <f>[39]domlongtermissues!AU15</f>
        <v>85877</v>
      </c>
      <c r="AW36" s="419"/>
      <c r="AX36" s="388"/>
      <c r="AY36" s="404"/>
      <c r="AZ36" s="404"/>
      <c r="BA36" s="420">
        <f>[39]domlongtermissues!AZ15</f>
        <v>204461</v>
      </c>
      <c r="BB36" s="419"/>
      <c r="BC36" s="388"/>
      <c r="BD36" s="404"/>
      <c r="BE36" s="404"/>
      <c r="BF36" s="420">
        <f>[39]domlongtermissues!BE15</f>
        <v>132680</v>
      </c>
      <c r="BG36" s="419"/>
      <c r="BH36" s="388"/>
      <c r="BI36" s="404"/>
      <c r="BJ36" s="404"/>
      <c r="BK36" s="420">
        <f>[39]domlongtermissues!BJ15</f>
        <v>1279237</v>
      </c>
      <c r="BL36" s="419"/>
      <c r="BM36" s="388"/>
      <c r="BN36" s="404"/>
      <c r="BO36" s="404"/>
      <c r="BP36" s="420">
        <f>[39]domlongtermissues!BO15</f>
        <v>2584491</v>
      </c>
      <c r="BQ36" s="419"/>
      <c r="BR36" s="388"/>
      <c r="BS36" s="404"/>
      <c r="BT36" s="404"/>
      <c r="BU36" s="420">
        <f>[39]domlongtermissues!BT15</f>
        <v>4891996</v>
      </c>
      <c r="BV36" s="419"/>
      <c r="BW36" s="388"/>
      <c r="BX36" s="404"/>
      <c r="BY36" s="404"/>
      <c r="BZ36" s="420">
        <f>[39]domlongtermissues!CX15</f>
        <v>289217</v>
      </c>
      <c r="CA36" s="419"/>
      <c r="CB36" s="388"/>
      <c r="CC36" s="404"/>
      <c r="CD36" s="404"/>
      <c r="CE36" s="420">
        <f>[39]domlongtermissues!DC15</f>
        <v>235010</v>
      </c>
      <c r="CF36" s="419"/>
      <c r="CG36" s="388"/>
      <c r="CH36" s="404"/>
      <c r="CI36" s="404"/>
      <c r="CJ36" s="420">
        <f>[39]domlongtermissues!DH15</f>
        <v>0</v>
      </c>
      <c r="CK36" s="419"/>
      <c r="CL36" s="388"/>
      <c r="CM36" s="404"/>
      <c r="CN36" s="404"/>
      <c r="CO36" s="420">
        <f>[39]domlongtermissues!DM15</f>
        <v>64127</v>
      </c>
      <c r="CP36" s="419"/>
      <c r="CQ36" s="388"/>
      <c r="CR36" s="404"/>
      <c r="CS36" s="404"/>
      <c r="CT36" s="420">
        <f>[39]domlongtermissues!DR15</f>
        <v>0</v>
      </c>
      <c r="CU36" s="419"/>
      <c r="CV36" s="388"/>
      <c r="CW36" s="404"/>
      <c r="CX36" s="404"/>
      <c r="CY36" s="420">
        <f>[39]domlongtermissues!DW15</f>
        <v>0</v>
      </c>
      <c r="CZ36" s="419"/>
      <c r="DA36" s="388"/>
      <c r="DB36" s="404"/>
      <c r="DC36" s="404"/>
      <c r="DD36" s="420">
        <f>[39]domlongtermissues!EB15</f>
        <v>0</v>
      </c>
      <c r="DE36" s="419"/>
      <c r="DF36" s="388"/>
      <c r="DG36" s="398"/>
      <c r="DJ36" s="411"/>
      <c r="DK36" s="411" t="e">
        <f>#REF!-#REF!</f>
        <v>#REF!</v>
      </c>
    </row>
    <row r="37" spans="1:115" x14ac:dyDescent="0.3">
      <c r="A37" s="388"/>
      <c r="B37" s="388"/>
      <c r="C37" s="398" t="s">
        <v>343</v>
      </c>
      <c r="D37" s="388"/>
      <c r="E37" s="436" t="s">
        <v>335</v>
      </c>
      <c r="F37" s="437"/>
      <c r="G37" s="437"/>
      <c r="H37" s="424">
        <f>-[39]domredemp!G15</f>
        <v>-1028268</v>
      </c>
      <c r="I37" s="419"/>
      <c r="J37" s="388"/>
      <c r="K37" s="404"/>
      <c r="L37" s="404"/>
      <c r="M37" s="424">
        <f>-[39]domredemp!L15</f>
        <v>-487336</v>
      </c>
      <c r="N37" s="419"/>
      <c r="O37" s="388"/>
      <c r="P37" s="404"/>
      <c r="Q37" s="404"/>
      <c r="R37" s="424">
        <f>-[39]domredemp!Q15</f>
        <v>-29682</v>
      </c>
      <c r="S37" s="419"/>
      <c r="T37" s="388"/>
      <c r="U37" s="404"/>
      <c r="V37" s="404"/>
      <c r="W37" s="424">
        <f>-[39]domredemp!V15</f>
        <v>-28489</v>
      </c>
      <c r="X37" s="419"/>
      <c r="Y37" s="388"/>
      <c r="Z37" s="404"/>
      <c r="AA37" s="404"/>
      <c r="AB37" s="424">
        <f>-[39]domredemp!AA15</f>
        <v>0</v>
      </c>
      <c r="AC37" s="419"/>
      <c r="AD37" s="388"/>
      <c r="AE37" s="404"/>
      <c r="AF37" s="404"/>
      <c r="AG37" s="424">
        <f>-[39]domredemp!AF15</f>
        <v>-41191</v>
      </c>
      <c r="AH37" s="419"/>
      <c r="AI37" s="388"/>
      <c r="AJ37" s="404"/>
      <c r="AK37" s="404"/>
      <c r="AL37" s="424">
        <f>-[39]domredemp!AK15</f>
        <v>-18552</v>
      </c>
      <c r="AM37" s="419"/>
      <c r="AN37" s="388"/>
      <c r="AO37" s="404"/>
      <c r="AP37" s="404"/>
      <c r="AQ37" s="424">
        <f>-[39]domredemp!AP15</f>
        <v>0</v>
      </c>
      <c r="AR37" s="419"/>
      <c r="AS37" s="388"/>
      <c r="AT37" s="404"/>
      <c r="AU37" s="404"/>
      <c r="AV37" s="424">
        <f>-[39]domredemp!AU15</f>
        <v>0</v>
      </c>
      <c r="AW37" s="419"/>
      <c r="AX37" s="388"/>
      <c r="AY37" s="404"/>
      <c r="AZ37" s="404"/>
      <c r="BA37" s="424">
        <f>-[39]domredemp!AZ15</f>
        <v>-290338</v>
      </c>
      <c r="BB37" s="419"/>
      <c r="BC37" s="388"/>
      <c r="BD37" s="404"/>
      <c r="BE37" s="404"/>
      <c r="BF37" s="424">
        <f>-[39]domredemp!BE15</f>
        <v>-132680</v>
      </c>
      <c r="BG37" s="419"/>
      <c r="BH37" s="388"/>
      <c r="BI37" s="404"/>
      <c r="BJ37" s="404"/>
      <c r="BK37" s="424">
        <f>-[39]domredemp!BJ15</f>
        <v>-1279237</v>
      </c>
      <c r="BL37" s="419"/>
      <c r="BM37" s="388"/>
      <c r="BN37" s="404"/>
      <c r="BO37" s="404"/>
      <c r="BP37" s="424">
        <f>-[39]domredemp!BO15</f>
        <v>-2584491</v>
      </c>
      <c r="BQ37" s="419"/>
      <c r="BR37" s="388"/>
      <c r="BS37" s="404"/>
      <c r="BT37" s="404"/>
      <c r="BU37" s="424">
        <f>-[39]domredemp!BT15</f>
        <v>-4891996</v>
      </c>
      <c r="BV37" s="419"/>
      <c r="BW37" s="388"/>
      <c r="BX37" s="404"/>
      <c r="BY37" s="404"/>
      <c r="BZ37" s="424">
        <f>-[39]domredemp!CX15</f>
        <v>-289217</v>
      </c>
      <c r="CA37" s="419"/>
      <c r="CB37" s="388"/>
      <c r="CC37" s="404"/>
      <c r="CD37" s="404"/>
      <c r="CE37" s="424">
        <f>-[39]domredemp!DC15</f>
        <v>-235010</v>
      </c>
      <c r="CF37" s="419"/>
      <c r="CG37" s="388"/>
      <c r="CH37" s="404"/>
      <c r="CI37" s="404"/>
      <c r="CJ37" s="424">
        <f>-[39]domredemp!DH15</f>
        <v>0</v>
      </c>
      <c r="CK37" s="419"/>
      <c r="CL37" s="388"/>
      <c r="CM37" s="404"/>
      <c r="CN37" s="404"/>
      <c r="CO37" s="424">
        <f>-[39]domredemp!DM15</f>
        <v>-64127</v>
      </c>
      <c r="CP37" s="419"/>
      <c r="CQ37" s="388"/>
      <c r="CR37" s="404"/>
      <c r="CS37" s="404"/>
      <c r="CT37" s="424">
        <f>-[39]domredemp!DR15</f>
        <v>0</v>
      </c>
      <c r="CU37" s="419"/>
      <c r="CV37" s="388"/>
      <c r="CW37" s="404"/>
      <c r="CX37" s="404"/>
      <c r="CY37" s="424">
        <f>-[39]domredemp!DW15</f>
        <v>0</v>
      </c>
      <c r="CZ37" s="419"/>
      <c r="DA37" s="388"/>
      <c r="DB37" s="404"/>
      <c r="DC37" s="404"/>
      <c r="DD37" s="424">
        <f>-[39]domredemp!EB15</f>
        <v>0</v>
      </c>
      <c r="DE37" s="419"/>
      <c r="DF37" s="388"/>
      <c r="DG37" s="398"/>
      <c r="DJ37" s="411"/>
      <c r="DK37" s="411" t="e">
        <f>#REF!-#REF!</f>
        <v>#REF!</v>
      </c>
    </row>
    <row r="38" spans="1:115" ht="12.75" hidden="1" customHeight="1" x14ac:dyDescent="0.3">
      <c r="A38" s="388"/>
      <c r="B38" s="388"/>
      <c r="C38" s="398"/>
      <c r="D38" s="388"/>
      <c r="E38" s="436"/>
      <c r="F38" s="437"/>
      <c r="G38" s="437"/>
      <c r="H38" s="388"/>
      <c r="I38" s="419"/>
      <c r="J38" s="388"/>
      <c r="K38" s="404"/>
      <c r="L38" s="404"/>
      <c r="M38" s="388"/>
      <c r="N38" s="419"/>
      <c r="O38" s="388"/>
      <c r="P38" s="404"/>
      <c r="Q38" s="404"/>
      <c r="R38" s="388"/>
      <c r="S38" s="419"/>
      <c r="T38" s="388"/>
      <c r="U38" s="404"/>
      <c r="V38" s="404"/>
      <c r="W38" s="388"/>
      <c r="X38" s="419"/>
      <c r="Y38" s="388"/>
      <c r="Z38" s="404"/>
      <c r="AA38" s="404"/>
      <c r="AB38" s="388"/>
      <c r="AC38" s="419"/>
      <c r="AD38" s="388"/>
      <c r="AE38" s="404"/>
      <c r="AF38" s="404"/>
      <c r="AG38" s="388"/>
      <c r="AH38" s="419"/>
      <c r="AI38" s="388"/>
      <c r="AJ38" s="404"/>
      <c r="AK38" s="404"/>
      <c r="AL38" s="388"/>
      <c r="AM38" s="419"/>
      <c r="AN38" s="388"/>
      <c r="AO38" s="404"/>
      <c r="AP38" s="404"/>
      <c r="AQ38" s="388"/>
      <c r="AR38" s="419"/>
      <c r="AS38" s="388"/>
      <c r="AT38" s="404"/>
      <c r="AU38" s="404"/>
      <c r="AV38" s="388"/>
      <c r="AW38" s="419"/>
      <c r="AX38" s="388"/>
      <c r="AY38" s="404"/>
      <c r="AZ38" s="404"/>
      <c r="BA38" s="388"/>
      <c r="BB38" s="419"/>
      <c r="BC38" s="388"/>
      <c r="BD38" s="404"/>
      <c r="BE38" s="404"/>
      <c r="BF38" s="388"/>
      <c r="BG38" s="419"/>
      <c r="BH38" s="388"/>
      <c r="BI38" s="404"/>
      <c r="BJ38" s="404"/>
      <c r="BK38" s="388"/>
      <c r="BL38" s="419"/>
      <c r="BM38" s="388"/>
      <c r="BN38" s="404"/>
      <c r="BO38" s="404"/>
      <c r="BP38" s="388"/>
      <c r="BQ38" s="419"/>
      <c r="BR38" s="388"/>
      <c r="BS38" s="404"/>
      <c r="BT38" s="404"/>
      <c r="BU38" s="388"/>
      <c r="BV38" s="419"/>
      <c r="BW38" s="388"/>
      <c r="BX38" s="404"/>
      <c r="BY38" s="404"/>
      <c r="BZ38" s="388"/>
      <c r="CA38" s="419"/>
      <c r="CB38" s="388"/>
      <c r="CC38" s="404"/>
      <c r="CD38" s="404"/>
      <c r="CE38" s="388"/>
      <c r="CF38" s="419"/>
      <c r="CG38" s="388"/>
      <c r="CH38" s="404"/>
      <c r="CI38" s="404"/>
      <c r="CJ38" s="388"/>
      <c r="CK38" s="419"/>
      <c r="CL38" s="388"/>
      <c r="CM38" s="404"/>
      <c r="CN38" s="404"/>
      <c r="CO38" s="388"/>
      <c r="CP38" s="419"/>
      <c r="CQ38" s="388"/>
      <c r="CR38" s="404"/>
      <c r="CS38" s="404"/>
      <c r="CT38" s="388"/>
      <c r="CU38" s="419"/>
      <c r="CV38" s="388"/>
      <c r="CW38" s="404"/>
      <c r="CX38" s="404"/>
      <c r="CY38" s="388"/>
      <c r="CZ38" s="419"/>
      <c r="DA38" s="388"/>
      <c r="DB38" s="404"/>
      <c r="DC38" s="404"/>
      <c r="DD38" s="388"/>
      <c r="DE38" s="419"/>
      <c r="DF38" s="388"/>
      <c r="DG38" s="398"/>
      <c r="DJ38" s="411"/>
      <c r="DK38" s="411" t="e">
        <f>#REF!-#REF!</f>
        <v>#REF!</v>
      </c>
    </row>
    <row r="39" spans="1:115" ht="12.75" hidden="1" customHeight="1" x14ac:dyDescent="0.3">
      <c r="A39" s="388"/>
      <c r="B39" s="388"/>
      <c r="C39" s="398" t="s">
        <v>344</v>
      </c>
      <c r="D39" s="440" t="s">
        <v>86</v>
      </c>
      <c r="E39" s="438"/>
      <c r="F39" s="439"/>
      <c r="G39" s="439"/>
      <c r="H39" s="388">
        <v>0</v>
      </c>
      <c r="I39" s="419"/>
      <c r="J39" s="388"/>
      <c r="K39" s="404"/>
      <c r="L39" s="404"/>
      <c r="M39" s="388">
        <f>SUM(M40:M40)</f>
        <v>0</v>
      </c>
      <c r="N39" s="419"/>
      <c r="O39" s="388"/>
      <c r="P39" s="404"/>
      <c r="Q39" s="404"/>
      <c r="R39" s="388">
        <f>SUM(R40:R40)</f>
        <v>0</v>
      </c>
      <c r="S39" s="419"/>
      <c r="T39" s="388"/>
      <c r="U39" s="404"/>
      <c r="V39" s="404"/>
      <c r="W39" s="388">
        <f>SUM(W40:W40)</f>
        <v>0</v>
      </c>
      <c r="X39" s="419"/>
      <c r="Y39" s="388"/>
      <c r="Z39" s="404"/>
      <c r="AA39" s="404"/>
      <c r="AB39" s="388">
        <f>SUM(AB40:AB40)</f>
        <v>0</v>
      </c>
      <c r="AC39" s="419"/>
      <c r="AD39" s="388"/>
      <c r="AE39" s="404"/>
      <c r="AF39" s="404"/>
      <c r="AG39" s="388">
        <f>SUM(AG40:AG40)</f>
        <v>0</v>
      </c>
      <c r="AH39" s="419"/>
      <c r="AI39" s="388"/>
      <c r="AJ39" s="404"/>
      <c r="AK39" s="404"/>
      <c r="AL39" s="388">
        <f>SUM(AL40:AL40)</f>
        <v>0</v>
      </c>
      <c r="AM39" s="419"/>
      <c r="AN39" s="388"/>
      <c r="AO39" s="404"/>
      <c r="AP39" s="404"/>
      <c r="AQ39" s="388">
        <f>SUM(AQ40:AQ40)</f>
        <v>0</v>
      </c>
      <c r="AR39" s="419"/>
      <c r="AS39" s="388"/>
      <c r="AT39" s="404"/>
      <c r="AU39" s="404"/>
      <c r="AV39" s="388">
        <f>SUM(AV40:AV40)</f>
        <v>0</v>
      </c>
      <c r="AW39" s="419"/>
      <c r="AX39" s="388"/>
      <c r="AY39" s="404"/>
      <c r="AZ39" s="404"/>
      <c r="BA39" s="388">
        <f>SUM(BA40:BA40)</f>
        <v>0</v>
      </c>
      <c r="BB39" s="419"/>
      <c r="BC39" s="388"/>
      <c r="BD39" s="404"/>
      <c r="BE39" s="404"/>
      <c r="BF39" s="388">
        <f>SUM(BF40:BF40)</f>
        <v>0</v>
      </c>
      <c r="BG39" s="419"/>
      <c r="BH39" s="388"/>
      <c r="BI39" s="404"/>
      <c r="BJ39" s="404"/>
      <c r="BK39" s="388">
        <f>SUM(BK40:BK40)</f>
        <v>0</v>
      </c>
      <c r="BL39" s="419"/>
      <c r="BM39" s="388"/>
      <c r="BN39" s="404"/>
      <c r="BO39" s="404"/>
      <c r="BP39" s="388">
        <f>SUM(BP40:BP40)</f>
        <v>0</v>
      </c>
      <c r="BQ39" s="419"/>
      <c r="BR39" s="388"/>
      <c r="BS39" s="404"/>
      <c r="BT39" s="404"/>
      <c r="BU39" s="388">
        <f>SUM(BU40:BU40)</f>
        <v>0</v>
      </c>
      <c r="BV39" s="419"/>
      <c r="BW39" s="388"/>
      <c r="BX39" s="404"/>
      <c r="BY39" s="404"/>
      <c r="BZ39" s="388">
        <f>SUM(BZ40:BZ40)</f>
        <v>0</v>
      </c>
      <c r="CA39" s="419"/>
      <c r="CB39" s="388"/>
      <c r="CC39" s="404"/>
      <c r="CD39" s="404"/>
      <c r="CE39" s="388">
        <f>SUM(CE40:CE40)</f>
        <v>0</v>
      </c>
      <c r="CF39" s="419"/>
      <c r="CG39" s="388"/>
      <c r="CH39" s="404"/>
      <c r="CI39" s="404"/>
      <c r="CJ39" s="388">
        <f>SUM(CJ40:CJ40)</f>
        <v>0</v>
      </c>
      <c r="CK39" s="419"/>
      <c r="CL39" s="388"/>
      <c r="CM39" s="404"/>
      <c r="CN39" s="404"/>
      <c r="CO39" s="388">
        <f>SUM(CO40:CO40)</f>
        <v>0</v>
      </c>
      <c r="CP39" s="419"/>
      <c r="CQ39" s="388"/>
      <c r="CR39" s="404"/>
      <c r="CS39" s="404"/>
      <c r="CT39" s="388">
        <f>SUM(CT40:CT40)</f>
        <v>0</v>
      </c>
      <c r="CU39" s="419"/>
      <c r="CV39" s="388"/>
      <c r="CW39" s="404"/>
      <c r="CX39" s="404"/>
      <c r="CY39" s="388">
        <f>SUM(CY40:CY40)</f>
        <v>0</v>
      </c>
      <c r="CZ39" s="419"/>
      <c r="DA39" s="388"/>
      <c r="DB39" s="404"/>
      <c r="DC39" s="404"/>
      <c r="DD39" s="388">
        <f>SUM(DD40:DD40)</f>
        <v>0</v>
      </c>
      <c r="DE39" s="419"/>
      <c r="DF39" s="388"/>
      <c r="DG39" s="398"/>
      <c r="DJ39" s="411"/>
      <c r="DK39" s="411" t="e">
        <f>#REF!-#REF!</f>
        <v>#REF!</v>
      </c>
    </row>
    <row r="40" spans="1:115" ht="12.75" hidden="1" customHeight="1" x14ac:dyDescent="0.3">
      <c r="A40" s="388"/>
      <c r="B40" s="388"/>
      <c r="C40" s="398" t="s">
        <v>338</v>
      </c>
      <c r="D40" s="388"/>
      <c r="E40" s="436" t="s">
        <v>332</v>
      </c>
      <c r="F40" s="437"/>
      <c r="G40" s="437"/>
      <c r="H40" s="441">
        <v>0</v>
      </c>
      <c r="I40" s="419"/>
      <c r="J40" s="388"/>
      <c r="K40" s="404"/>
      <c r="L40" s="404"/>
      <c r="M40" s="441">
        <f>[39]domlongtermissues!L16</f>
        <v>0</v>
      </c>
      <c r="N40" s="419"/>
      <c r="O40" s="388"/>
      <c r="P40" s="404"/>
      <c r="Q40" s="404"/>
      <c r="R40" s="441">
        <f>[39]domlongtermissues!Q16</f>
        <v>0</v>
      </c>
      <c r="S40" s="419"/>
      <c r="T40" s="388"/>
      <c r="U40" s="404"/>
      <c r="V40" s="404"/>
      <c r="W40" s="441">
        <f>[39]domlongtermissues!V16</f>
        <v>0</v>
      </c>
      <c r="X40" s="419"/>
      <c r="Y40" s="388"/>
      <c r="Z40" s="404"/>
      <c r="AA40" s="404"/>
      <c r="AB40" s="441">
        <f>[39]domlongtermissues!AA16</f>
        <v>0</v>
      </c>
      <c r="AC40" s="419"/>
      <c r="AD40" s="388"/>
      <c r="AE40" s="404"/>
      <c r="AF40" s="404"/>
      <c r="AG40" s="441">
        <f>[39]domlongtermissues!AF16</f>
        <v>0</v>
      </c>
      <c r="AH40" s="419"/>
      <c r="AI40" s="388"/>
      <c r="AJ40" s="404"/>
      <c r="AK40" s="404"/>
      <c r="AL40" s="441">
        <f>[39]domlongtermissues!AK16</f>
        <v>0</v>
      </c>
      <c r="AM40" s="419"/>
      <c r="AN40" s="388"/>
      <c r="AO40" s="404"/>
      <c r="AP40" s="404"/>
      <c r="AQ40" s="441">
        <f>[39]domlongtermissues!AP16</f>
        <v>0</v>
      </c>
      <c r="AR40" s="419"/>
      <c r="AS40" s="388"/>
      <c r="AT40" s="404"/>
      <c r="AU40" s="404"/>
      <c r="AV40" s="441">
        <f>[39]domlongtermissues!AU16</f>
        <v>0</v>
      </c>
      <c r="AW40" s="419"/>
      <c r="AX40" s="388"/>
      <c r="AY40" s="404"/>
      <c r="AZ40" s="404"/>
      <c r="BA40" s="441">
        <f>[39]domlongtermissues!AZ16</f>
        <v>0</v>
      </c>
      <c r="BB40" s="419"/>
      <c r="BC40" s="388"/>
      <c r="BD40" s="404"/>
      <c r="BE40" s="404"/>
      <c r="BF40" s="441">
        <f>[39]domlongtermissues!BE16</f>
        <v>0</v>
      </c>
      <c r="BG40" s="419"/>
      <c r="BH40" s="388"/>
      <c r="BI40" s="404"/>
      <c r="BJ40" s="404"/>
      <c r="BK40" s="441">
        <f>[39]domlongtermissues!BJ16</f>
        <v>0</v>
      </c>
      <c r="BL40" s="419"/>
      <c r="BM40" s="388"/>
      <c r="BN40" s="404"/>
      <c r="BO40" s="404"/>
      <c r="BP40" s="388">
        <f>[39]domlongtermissues!BO16</f>
        <v>0</v>
      </c>
      <c r="BQ40" s="419"/>
      <c r="BR40" s="388"/>
      <c r="BS40" s="404"/>
      <c r="BT40" s="404"/>
      <c r="BU40" s="441">
        <f>[39]domlongtermissues!BT16</f>
        <v>0</v>
      </c>
      <c r="BV40" s="419"/>
      <c r="BW40" s="388"/>
      <c r="BX40" s="404"/>
      <c r="BY40" s="404"/>
      <c r="BZ40" s="441">
        <f>[39]domlongtermissues!CX16</f>
        <v>0</v>
      </c>
      <c r="CA40" s="419"/>
      <c r="CB40" s="388"/>
      <c r="CC40" s="404"/>
      <c r="CD40" s="404"/>
      <c r="CE40" s="441">
        <f>[39]domlongtermissues!DC16</f>
        <v>0</v>
      </c>
      <c r="CF40" s="419"/>
      <c r="CG40" s="388"/>
      <c r="CH40" s="404"/>
      <c r="CI40" s="404"/>
      <c r="CJ40" s="441">
        <f>[39]domlongtermissues!DH16</f>
        <v>0</v>
      </c>
      <c r="CK40" s="419"/>
      <c r="CL40" s="388"/>
      <c r="CM40" s="404"/>
      <c r="CN40" s="404"/>
      <c r="CO40" s="441">
        <f>[39]domlongtermissues!DM16</f>
        <v>0</v>
      </c>
      <c r="CP40" s="419"/>
      <c r="CQ40" s="388"/>
      <c r="CR40" s="404"/>
      <c r="CS40" s="404"/>
      <c r="CT40" s="441">
        <f>[39]domlongtermissues!DR16</f>
        <v>0</v>
      </c>
      <c r="CU40" s="419"/>
      <c r="CV40" s="388"/>
      <c r="CW40" s="404"/>
      <c r="CX40" s="404"/>
      <c r="CY40" s="441">
        <f>[39]domlongtermissues!DW16</f>
        <v>0</v>
      </c>
      <c r="CZ40" s="419"/>
      <c r="DA40" s="388"/>
      <c r="DB40" s="404"/>
      <c r="DC40" s="404"/>
      <c r="DD40" s="441">
        <f>[39]domlongtermissues!EB16</f>
        <v>0</v>
      </c>
      <c r="DE40" s="419"/>
      <c r="DF40" s="388"/>
      <c r="DG40" s="398"/>
      <c r="DJ40" s="411"/>
      <c r="DK40" s="411" t="e">
        <f>#REF!-#REF!</f>
        <v>#REF!</v>
      </c>
    </row>
    <row r="41" spans="1:115" x14ac:dyDescent="0.3">
      <c r="A41" s="388"/>
      <c r="B41" s="388"/>
      <c r="C41" s="398"/>
      <c r="D41" s="388"/>
      <c r="E41" s="438"/>
      <c r="F41" s="439"/>
      <c r="G41" s="442"/>
      <c r="H41" s="430"/>
      <c r="I41" s="429"/>
      <c r="J41" s="388"/>
      <c r="K41" s="404"/>
      <c r="L41" s="427"/>
      <c r="M41" s="430"/>
      <c r="N41" s="429"/>
      <c r="O41" s="388"/>
      <c r="P41" s="404"/>
      <c r="Q41" s="427"/>
      <c r="R41" s="430"/>
      <c r="S41" s="429"/>
      <c r="T41" s="388"/>
      <c r="U41" s="404"/>
      <c r="V41" s="427"/>
      <c r="W41" s="430"/>
      <c r="X41" s="429"/>
      <c r="Y41" s="388"/>
      <c r="Z41" s="404"/>
      <c r="AA41" s="427"/>
      <c r="AB41" s="430"/>
      <c r="AC41" s="429"/>
      <c r="AD41" s="388"/>
      <c r="AE41" s="404"/>
      <c r="AF41" s="427"/>
      <c r="AG41" s="430"/>
      <c r="AH41" s="429"/>
      <c r="AI41" s="388"/>
      <c r="AJ41" s="404"/>
      <c r="AK41" s="427"/>
      <c r="AL41" s="430"/>
      <c r="AM41" s="429"/>
      <c r="AN41" s="388"/>
      <c r="AO41" s="404"/>
      <c r="AP41" s="427"/>
      <c r="AQ41" s="430"/>
      <c r="AR41" s="429"/>
      <c r="AS41" s="388"/>
      <c r="AT41" s="404"/>
      <c r="AU41" s="427"/>
      <c r="AV41" s="430"/>
      <c r="AW41" s="429"/>
      <c r="AX41" s="388"/>
      <c r="AY41" s="404"/>
      <c r="AZ41" s="427"/>
      <c r="BA41" s="430"/>
      <c r="BB41" s="429"/>
      <c r="BC41" s="388"/>
      <c r="BD41" s="404"/>
      <c r="BE41" s="427"/>
      <c r="BF41" s="430"/>
      <c r="BG41" s="429"/>
      <c r="BH41" s="388"/>
      <c r="BI41" s="404"/>
      <c r="BJ41" s="427"/>
      <c r="BK41" s="430"/>
      <c r="BL41" s="429"/>
      <c r="BM41" s="388"/>
      <c r="BN41" s="404"/>
      <c r="BO41" s="427"/>
      <c r="BP41" s="430"/>
      <c r="BQ41" s="429"/>
      <c r="BR41" s="388"/>
      <c r="BS41" s="404"/>
      <c r="BT41" s="427"/>
      <c r="BU41" s="430"/>
      <c r="BV41" s="429"/>
      <c r="BW41" s="388"/>
      <c r="BX41" s="404"/>
      <c r="BY41" s="427"/>
      <c r="BZ41" s="430"/>
      <c r="CA41" s="429"/>
      <c r="CB41" s="388"/>
      <c r="CC41" s="404"/>
      <c r="CD41" s="427"/>
      <c r="CE41" s="430"/>
      <c r="CF41" s="429"/>
      <c r="CG41" s="388"/>
      <c r="CH41" s="404"/>
      <c r="CI41" s="427"/>
      <c r="CJ41" s="430"/>
      <c r="CK41" s="429"/>
      <c r="CL41" s="388"/>
      <c r="CM41" s="404"/>
      <c r="CN41" s="427"/>
      <c r="CO41" s="430"/>
      <c r="CP41" s="429"/>
      <c r="CQ41" s="388"/>
      <c r="CR41" s="404"/>
      <c r="CS41" s="427"/>
      <c r="CT41" s="430"/>
      <c r="CU41" s="429"/>
      <c r="CV41" s="388"/>
      <c r="CW41" s="404"/>
      <c r="CX41" s="427"/>
      <c r="CY41" s="430"/>
      <c r="CZ41" s="429"/>
      <c r="DA41" s="388"/>
      <c r="DB41" s="404"/>
      <c r="DC41" s="427"/>
      <c r="DD41" s="430"/>
      <c r="DE41" s="429"/>
      <c r="DF41" s="388"/>
      <c r="DG41" s="398"/>
      <c r="DJ41" s="411"/>
      <c r="DK41" s="411" t="e">
        <f>#REF!-#REF!</f>
        <v>#REF!</v>
      </c>
    </row>
    <row r="42" spans="1:115" hidden="1" x14ac:dyDescent="0.3">
      <c r="A42" s="388"/>
      <c r="B42" s="388"/>
      <c r="C42" s="398"/>
      <c r="D42" s="388"/>
      <c r="E42" s="438"/>
      <c r="F42" s="439"/>
      <c r="G42" s="443"/>
      <c r="H42" s="388"/>
      <c r="I42" s="388"/>
      <c r="J42" s="388"/>
      <c r="K42" s="404"/>
      <c r="L42" s="388"/>
      <c r="M42" s="388"/>
      <c r="N42" s="388"/>
      <c r="O42" s="388"/>
      <c r="P42" s="404"/>
      <c r="Q42" s="388"/>
      <c r="R42" s="388"/>
      <c r="S42" s="388"/>
      <c r="T42" s="388"/>
      <c r="U42" s="404"/>
      <c r="V42" s="388"/>
      <c r="W42" s="388"/>
      <c r="X42" s="388"/>
      <c r="Y42" s="388"/>
      <c r="Z42" s="404"/>
      <c r="AA42" s="388"/>
      <c r="AB42" s="388"/>
      <c r="AC42" s="388"/>
      <c r="AD42" s="388"/>
      <c r="AE42" s="404"/>
      <c r="AF42" s="388"/>
      <c r="AG42" s="388"/>
      <c r="AH42" s="388"/>
      <c r="AI42" s="388"/>
      <c r="AJ42" s="404"/>
      <c r="AK42" s="388"/>
      <c r="AL42" s="388"/>
      <c r="AM42" s="388"/>
      <c r="AN42" s="388"/>
      <c r="AO42" s="404"/>
      <c r="AP42" s="388"/>
      <c r="AQ42" s="388"/>
      <c r="AR42" s="388"/>
      <c r="AS42" s="388"/>
      <c r="AT42" s="404"/>
      <c r="AU42" s="388"/>
      <c r="AV42" s="388"/>
      <c r="AW42" s="388"/>
      <c r="AX42" s="388"/>
      <c r="AY42" s="404"/>
      <c r="AZ42" s="388"/>
      <c r="BA42" s="388"/>
      <c r="BB42" s="388"/>
      <c r="BC42" s="388"/>
      <c r="BD42" s="404"/>
      <c r="BE42" s="388"/>
      <c r="BF42" s="388"/>
      <c r="BG42" s="388"/>
      <c r="BH42" s="388"/>
      <c r="BI42" s="404"/>
      <c r="BJ42" s="388"/>
      <c r="BK42" s="388"/>
      <c r="BL42" s="388"/>
      <c r="BM42" s="388"/>
      <c r="BN42" s="404"/>
      <c r="BO42" s="388"/>
      <c r="BP42" s="388"/>
      <c r="BQ42" s="388"/>
      <c r="BR42" s="388"/>
      <c r="BS42" s="404"/>
      <c r="BT42" s="388"/>
      <c r="BU42" s="388"/>
      <c r="BV42" s="388"/>
      <c r="BW42" s="388"/>
      <c r="BX42" s="404"/>
      <c r="BY42" s="388"/>
      <c r="BZ42" s="388"/>
      <c r="CA42" s="388"/>
      <c r="CB42" s="388"/>
      <c r="CC42" s="404"/>
      <c r="CD42" s="388"/>
      <c r="CE42" s="388"/>
      <c r="CF42" s="388"/>
      <c r="CG42" s="388"/>
      <c r="CH42" s="404"/>
      <c r="CI42" s="388"/>
      <c r="CJ42" s="388"/>
      <c r="CK42" s="388"/>
      <c r="CL42" s="388"/>
      <c r="CM42" s="404"/>
      <c r="CN42" s="388"/>
      <c r="CO42" s="388"/>
      <c r="CP42" s="388"/>
      <c r="CQ42" s="388"/>
      <c r="CR42" s="404"/>
      <c r="CS42" s="388"/>
      <c r="CT42" s="388"/>
      <c r="CU42" s="388"/>
      <c r="CV42" s="388"/>
      <c r="CW42" s="404"/>
      <c r="CX42" s="388"/>
      <c r="CY42" s="388"/>
      <c r="CZ42" s="388"/>
      <c r="DA42" s="388"/>
      <c r="DB42" s="404"/>
      <c r="DC42" s="388"/>
      <c r="DD42" s="388"/>
      <c r="DE42" s="388"/>
      <c r="DF42" s="388"/>
      <c r="DG42" s="398"/>
      <c r="DJ42" s="411"/>
      <c r="DK42" s="411" t="e">
        <f>#REF!-#REF!</f>
        <v>#REF!</v>
      </c>
    </row>
    <row r="43" spans="1:115" x14ac:dyDescent="0.3">
      <c r="A43" s="388"/>
      <c r="B43" s="388"/>
      <c r="C43" s="398"/>
      <c r="D43" s="388"/>
      <c r="E43" s="438"/>
      <c r="F43" s="439"/>
      <c r="G43" s="443"/>
      <c r="H43" s="388"/>
      <c r="I43" s="388"/>
      <c r="J43" s="388"/>
      <c r="K43" s="404"/>
      <c r="L43" s="388"/>
      <c r="M43" s="388"/>
      <c r="N43" s="388"/>
      <c r="O43" s="388"/>
      <c r="P43" s="404"/>
      <c r="Q43" s="388"/>
      <c r="R43" s="388"/>
      <c r="S43" s="388"/>
      <c r="T43" s="388"/>
      <c r="U43" s="404"/>
      <c r="V43" s="388"/>
      <c r="W43" s="388"/>
      <c r="X43" s="388"/>
      <c r="Y43" s="388"/>
      <c r="Z43" s="404"/>
      <c r="AA43" s="388"/>
      <c r="AB43" s="388"/>
      <c r="AC43" s="388"/>
      <c r="AD43" s="388"/>
      <c r="AE43" s="404"/>
      <c r="AF43" s="388"/>
      <c r="AG43" s="388"/>
      <c r="AH43" s="388"/>
      <c r="AI43" s="388"/>
      <c r="AJ43" s="404"/>
      <c r="AK43" s="388"/>
      <c r="AL43" s="388"/>
      <c r="AM43" s="388"/>
      <c r="AN43" s="388"/>
      <c r="AO43" s="404"/>
      <c r="AP43" s="388"/>
      <c r="AQ43" s="388"/>
      <c r="AR43" s="388"/>
      <c r="AS43" s="388"/>
      <c r="AT43" s="404"/>
      <c r="AU43" s="388"/>
      <c r="AV43" s="388"/>
      <c r="AW43" s="388"/>
      <c r="AX43" s="388"/>
      <c r="AY43" s="404"/>
      <c r="AZ43" s="388"/>
      <c r="BA43" s="388"/>
      <c r="BB43" s="388"/>
      <c r="BC43" s="388"/>
      <c r="BD43" s="404"/>
      <c r="BE43" s="388"/>
      <c r="BF43" s="388"/>
      <c r="BG43" s="388"/>
      <c r="BH43" s="388"/>
      <c r="BI43" s="404"/>
      <c r="BJ43" s="388"/>
      <c r="BK43" s="388"/>
      <c r="BL43" s="388"/>
      <c r="BM43" s="388"/>
      <c r="BN43" s="404"/>
      <c r="BO43" s="388"/>
      <c r="BP43" s="388"/>
      <c r="BQ43" s="388"/>
      <c r="BR43" s="388"/>
      <c r="BS43" s="404"/>
      <c r="BT43" s="388"/>
      <c r="BU43" s="388"/>
      <c r="BV43" s="388"/>
      <c r="BW43" s="388"/>
      <c r="BX43" s="404"/>
      <c r="BY43" s="388"/>
      <c r="BZ43" s="388"/>
      <c r="CA43" s="388"/>
      <c r="CB43" s="388"/>
      <c r="CC43" s="404"/>
      <c r="CD43" s="388"/>
      <c r="CE43" s="388"/>
      <c r="CF43" s="388"/>
      <c r="CG43" s="388"/>
      <c r="CH43" s="404"/>
      <c r="CI43" s="388"/>
      <c r="CJ43" s="388"/>
      <c r="CK43" s="388"/>
      <c r="CL43" s="388"/>
      <c r="CM43" s="404"/>
      <c r="CN43" s="388"/>
      <c r="CO43" s="388"/>
      <c r="CP43" s="388"/>
      <c r="CQ43" s="388"/>
      <c r="CR43" s="404"/>
      <c r="CS43" s="388"/>
      <c r="CT43" s="388"/>
      <c r="CU43" s="388"/>
      <c r="CV43" s="388"/>
      <c r="CW43" s="404"/>
      <c r="CX43" s="388"/>
      <c r="CY43" s="388"/>
      <c r="CZ43" s="388"/>
      <c r="DA43" s="388"/>
      <c r="DB43" s="404"/>
      <c r="DC43" s="388"/>
      <c r="DD43" s="388"/>
      <c r="DE43" s="388"/>
      <c r="DF43" s="388"/>
      <c r="DG43" s="398"/>
      <c r="DJ43" s="411"/>
      <c r="DK43" s="411" t="e">
        <f>#REF!-#REF!</f>
        <v>#REF!</v>
      </c>
    </row>
    <row r="44" spans="1:115" s="411" customFormat="1" x14ac:dyDescent="0.3">
      <c r="A44" s="389"/>
      <c r="B44" s="389"/>
      <c r="C44" s="405" t="s">
        <v>345</v>
      </c>
      <c r="D44" s="389"/>
      <c r="E44" s="436" t="s">
        <v>346</v>
      </c>
      <c r="F44" s="437"/>
      <c r="G44" s="444"/>
      <c r="H44" s="389">
        <f>+H45+H52+H59</f>
        <v>92653000</v>
      </c>
      <c r="I44" s="389"/>
      <c r="J44" s="389"/>
      <c r="K44" s="407"/>
      <c r="L44" s="444"/>
      <c r="M44" s="389">
        <f>+M45+M52+M59</f>
        <v>-777665</v>
      </c>
      <c r="N44" s="389"/>
      <c r="O44" s="389"/>
      <c r="P44" s="407"/>
      <c r="Q44" s="444"/>
      <c r="R44" s="389">
        <f>+R45+R52+R59</f>
        <v>-4931986</v>
      </c>
      <c r="S44" s="389"/>
      <c r="T44" s="389"/>
      <c r="U44" s="407"/>
      <c r="V44" s="444"/>
      <c r="W44" s="389">
        <f>+W45+W52+W59</f>
        <v>-8699700</v>
      </c>
      <c r="X44" s="389"/>
      <c r="Y44" s="389"/>
      <c r="Z44" s="407"/>
      <c r="AA44" s="444"/>
      <c r="AB44" s="389">
        <f>+AB45+AB52+AB59</f>
        <v>86911584</v>
      </c>
      <c r="AC44" s="389"/>
      <c r="AD44" s="389"/>
      <c r="AE44" s="407"/>
      <c r="AF44" s="444"/>
      <c r="AG44" s="389">
        <f>+AG45+AG52+AG59</f>
        <v>0</v>
      </c>
      <c r="AH44" s="389"/>
      <c r="AI44" s="389"/>
      <c r="AJ44" s="407"/>
      <c r="AK44" s="444"/>
      <c r="AL44" s="389">
        <f>+AL45+AL52+AL59</f>
        <v>0</v>
      </c>
      <c r="AM44" s="389"/>
      <c r="AN44" s="389"/>
      <c r="AO44" s="407"/>
      <c r="AP44" s="444"/>
      <c r="AQ44" s="389">
        <f>+AQ45+AQ52+AQ59</f>
        <v>5008164</v>
      </c>
      <c r="AR44" s="389"/>
      <c r="AS44" s="389"/>
      <c r="AT44" s="407"/>
      <c r="AU44" s="444"/>
      <c r="AV44" s="389">
        <f>+AV45+AV52+AV59</f>
        <v>-6967</v>
      </c>
      <c r="AW44" s="389"/>
      <c r="AX44" s="389"/>
      <c r="AY44" s="407"/>
      <c r="AZ44" s="444"/>
      <c r="BA44" s="389">
        <f>+BA45+BA52+BA59</f>
        <v>0</v>
      </c>
      <c r="BB44" s="389"/>
      <c r="BC44" s="389"/>
      <c r="BD44" s="407"/>
      <c r="BE44" s="444"/>
      <c r="BF44" s="389">
        <f>+BF45+BF52+BF59</f>
        <v>0</v>
      </c>
      <c r="BG44" s="389"/>
      <c r="BH44" s="389"/>
      <c r="BI44" s="407"/>
      <c r="BJ44" s="444"/>
      <c r="BK44" s="389">
        <f>+BK45+BK52+BK59</f>
        <v>0</v>
      </c>
      <c r="BL44" s="389"/>
      <c r="BM44" s="389"/>
      <c r="BN44" s="407"/>
      <c r="BO44" s="444"/>
      <c r="BP44" s="389">
        <f>+BP45+BP52+BP59</f>
        <v>0</v>
      </c>
      <c r="BQ44" s="389"/>
      <c r="BR44" s="389"/>
      <c r="BS44" s="407"/>
      <c r="BT44" s="444"/>
      <c r="BU44" s="389">
        <f>+BU45+BU52+BU59</f>
        <v>77503430</v>
      </c>
      <c r="BV44" s="389"/>
      <c r="BW44" s="389"/>
      <c r="BX44" s="407"/>
      <c r="BY44" s="444"/>
      <c r="BZ44" s="389">
        <f>+BZ45+BZ52+BZ59</f>
        <v>0</v>
      </c>
      <c r="CA44" s="389"/>
      <c r="CB44" s="389"/>
      <c r="CC44" s="407"/>
      <c r="CD44" s="444"/>
      <c r="CE44" s="389">
        <f>+CE45+CE52+CE59</f>
        <v>76052000</v>
      </c>
      <c r="CF44" s="389"/>
      <c r="CG44" s="389"/>
      <c r="CH44" s="407"/>
      <c r="CI44" s="444"/>
      <c r="CJ44" s="389">
        <f>+CJ45+CJ52+CJ59</f>
        <v>-654491</v>
      </c>
      <c r="CK44" s="389"/>
      <c r="CL44" s="389"/>
      <c r="CM44" s="407"/>
      <c r="CN44" s="444"/>
      <c r="CO44" s="389">
        <f>+CO45+CO52+CO59</f>
        <v>-6365</v>
      </c>
      <c r="CP44" s="389"/>
      <c r="CQ44" s="389"/>
      <c r="CR44" s="407"/>
      <c r="CS44" s="444"/>
      <c r="CT44" s="389">
        <f>+CT45+CT52+CT59</f>
        <v>0</v>
      </c>
      <c r="CU44" s="389"/>
      <c r="CV44" s="389"/>
      <c r="CW44" s="407"/>
      <c r="CX44" s="444"/>
      <c r="CY44" s="389">
        <f>+CY45+CY52+CY59</f>
        <v>0</v>
      </c>
      <c r="CZ44" s="389"/>
      <c r="DA44" s="389"/>
      <c r="DB44" s="407"/>
      <c r="DC44" s="444"/>
      <c r="DD44" s="389">
        <f>+DD45+DD52+DD59</f>
        <v>0</v>
      </c>
      <c r="DE44" s="389"/>
      <c r="DF44" s="389"/>
      <c r="DG44" s="405"/>
      <c r="DH44" s="389"/>
      <c r="DK44" s="411" t="e">
        <f>#REF!-#REF!</f>
        <v>#REF!</v>
      </c>
    </row>
    <row r="45" spans="1:115" x14ac:dyDescent="0.3">
      <c r="A45" s="388"/>
      <c r="B45" s="388"/>
      <c r="C45" s="398" t="s">
        <v>330</v>
      </c>
      <c r="D45" s="388"/>
      <c r="E45" s="438"/>
      <c r="F45" s="439"/>
      <c r="G45" s="445"/>
      <c r="H45" s="413">
        <f>SUM(H46:H50)</f>
        <v>92653000</v>
      </c>
      <c r="I45" s="414"/>
      <c r="J45" s="388"/>
      <c r="K45" s="404"/>
      <c r="L45" s="445"/>
      <c r="M45" s="413">
        <f>SUM(M46:M50)</f>
        <v>-777665</v>
      </c>
      <c r="N45" s="414"/>
      <c r="O45" s="388"/>
      <c r="P45" s="404"/>
      <c r="Q45" s="445"/>
      <c r="R45" s="413">
        <f>SUM(R46:R50)</f>
        <v>-4931986</v>
      </c>
      <c r="S45" s="414"/>
      <c r="T45" s="388"/>
      <c r="U45" s="404"/>
      <c r="V45" s="445"/>
      <c r="W45" s="413">
        <f>SUM(W46:W50)</f>
        <v>-8699700</v>
      </c>
      <c r="X45" s="414"/>
      <c r="Y45" s="388"/>
      <c r="Z45" s="404"/>
      <c r="AA45" s="445"/>
      <c r="AB45" s="413">
        <f>SUM(AB46:AB50)</f>
        <v>86911584</v>
      </c>
      <c r="AC45" s="414"/>
      <c r="AD45" s="388"/>
      <c r="AE45" s="404"/>
      <c r="AF45" s="445"/>
      <c r="AG45" s="413">
        <f>SUM(AG46:AG50)</f>
        <v>0</v>
      </c>
      <c r="AH45" s="414"/>
      <c r="AI45" s="388"/>
      <c r="AJ45" s="404"/>
      <c r="AK45" s="445"/>
      <c r="AL45" s="413">
        <f>SUM(AL46:AL50)</f>
        <v>0</v>
      </c>
      <c r="AM45" s="414"/>
      <c r="AN45" s="388"/>
      <c r="AO45" s="404"/>
      <c r="AP45" s="445"/>
      <c r="AQ45" s="413">
        <f>SUM(AQ46:AQ50)</f>
        <v>5008164</v>
      </c>
      <c r="AR45" s="414"/>
      <c r="AS45" s="388"/>
      <c r="AT45" s="404"/>
      <c r="AU45" s="445"/>
      <c r="AV45" s="413">
        <f>SUM(AV46:AV50)</f>
        <v>-6967</v>
      </c>
      <c r="AW45" s="414"/>
      <c r="AX45" s="388"/>
      <c r="AY45" s="404"/>
      <c r="AZ45" s="445"/>
      <c r="BA45" s="413">
        <f>SUM(BA46:BA50)</f>
        <v>0</v>
      </c>
      <c r="BB45" s="414"/>
      <c r="BC45" s="388"/>
      <c r="BD45" s="404"/>
      <c r="BE45" s="445"/>
      <c r="BF45" s="413">
        <f>SUM(BF46:BF50)</f>
        <v>0</v>
      </c>
      <c r="BG45" s="414"/>
      <c r="BH45" s="388"/>
      <c r="BI45" s="404"/>
      <c r="BJ45" s="445"/>
      <c r="BK45" s="413">
        <f>SUM(BK46:BK50)</f>
        <v>0</v>
      </c>
      <c r="BL45" s="414"/>
      <c r="BM45" s="388"/>
      <c r="BN45" s="404"/>
      <c r="BO45" s="445"/>
      <c r="BP45" s="413">
        <f>SUM(BP46:BP50)</f>
        <v>0</v>
      </c>
      <c r="BQ45" s="414"/>
      <c r="BR45" s="388"/>
      <c r="BS45" s="404"/>
      <c r="BT45" s="445"/>
      <c r="BU45" s="413">
        <f>SUM(BU46:BU50)</f>
        <v>77503430</v>
      </c>
      <c r="BV45" s="414"/>
      <c r="BW45" s="388"/>
      <c r="BX45" s="404"/>
      <c r="BY45" s="445"/>
      <c r="BZ45" s="413">
        <f>SUM(BZ46:BZ50)</f>
        <v>0</v>
      </c>
      <c r="CA45" s="414"/>
      <c r="CB45" s="388"/>
      <c r="CC45" s="404"/>
      <c r="CD45" s="445"/>
      <c r="CE45" s="413">
        <f>SUM(CE46:CE50)</f>
        <v>76052000</v>
      </c>
      <c r="CF45" s="414"/>
      <c r="CG45" s="388"/>
      <c r="CH45" s="404"/>
      <c r="CI45" s="445"/>
      <c r="CJ45" s="413">
        <f>SUM(CJ46:CJ50)</f>
        <v>-654491</v>
      </c>
      <c r="CK45" s="414"/>
      <c r="CL45" s="388"/>
      <c r="CM45" s="404"/>
      <c r="CN45" s="445"/>
      <c r="CO45" s="413">
        <f>SUM(CO46:CO50)</f>
        <v>-6365</v>
      </c>
      <c r="CP45" s="414"/>
      <c r="CQ45" s="388"/>
      <c r="CR45" s="404"/>
      <c r="CS45" s="445"/>
      <c r="CT45" s="413">
        <f>SUM(CT46:CT50)</f>
        <v>0</v>
      </c>
      <c r="CU45" s="414"/>
      <c r="CV45" s="388"/>
      <c r="CW45" s="404"/>
      <c r="CX45" s="445"/>
      <c r="CY45" s="413">
        <f>SUM(CY46:CY50)</f>
        <v>0</v>
      </c>
      <c r="CZ45" s="414"/>
      <c r="DA45" s="388"/>
      <c r="DB45" s="404"/>
      <c r="DC45" s="445"/>
      <c r="DD45" s="413">
        <f>SUM(DD46:DD50)</f>
        <v>0</v>
      </c>
      <c r="DE45" s="414"/>
      <c r="DF45" s="388"/>
      <c r="DG45" s="398"/>
      <c r="DJ45" s="411"/>
      <c r="DK45" s="411" t="e">
        <f>#REF!-#REF!</f>
        <v>#REF!</v>
      </c>
    </row>
    <row r="46" spans="1:115" x14ac:dyDescent="0.3">
      <c r="A46" s="388"/>
      <c r="B46" s="388"/>
      <c r="C46" s="398" t="s">
        <v>331</v>
      </c>
      <c r="D46" s="388"/>
      <c r="E46" s="403"/>
      <c r="F46" s="431"/>
      <c r="G46" s="431"/>
      <c r="H46" s="420">
        <f>+[39]foreigndebt!G17</f>
        <v>107070000</v>
      </c>
      <c r="I46" s="419"/>
      <c r="J46" s="388"/>
      <c r="K46" s="404"/>
      <c r="L46" s="431"/>
      <c r="M46" s="420">
        <f>+[39]foreigndebt!L17</f>
        <v>0</v>
      </c>
      <c r="N46" s="419"/>
      <c r="O46" s="388"/>
      <c r="P46" s="404"/>
      <c r="Q46" s="431"/>
      <c r="R46" s="420">
        <f>+[39]foreigndebt!Q17</f>
        <v>0</v>
      </c>
      <c r="S46" s="419"/>
      <c r="T46" s="388"/>
      <c r="U46" s="404"/>
      <c r="V46" s="431"/>
      <c r="W46" s="420">
        <f>+[39]foreigndebt!V17</f>
        <v>0</v>
      </c>
      <c r="X46" s="419"/>
      <c r="Y46" s="388"/>
      <c r="Z46" s="404"/>
      <c r="AA46" s="431"/>
      <c r="AB46" s="420">
        <f>+[39]foreigndebt!AA17</f>
        <v>86911584</v>
      </c>
      <c r="AC46" s="419"/>
      <c r="AD46" s="388"/>
      <c r="AE46" s="404"/>
      <c r="AF46" s="431"/>
      <c r="AG46" s="420">
        <f>+[39]foreigndebt!AF17</f>
        <v>0</v>
      </c>
      <c r="AH46" s="419"/>
      <c r="AI46" s="388"/>
      <c r="AJ46" s="404"/>
      <c r="AK46" s="431"/>
      <c r="AL46" s="420">
        <f>+[39]foreigndebt!AK17</f>
        <v>0</v>
      </c>
      <c r="AM46" s="419"/>
      <c r="AN46" s="388"/>
      <c r="AO46" s="404"/>
      <c r="AP46" s="431"/>
      <c r="AQ46" s="420">
        <f>+[39]foreigndebt!AP17</f>
        <v>5008164</v>
      </c>
      <c r="AR46" s="419"/>
      <c r="AS46" s="388"/>
      <c r="AT46" s="404"/>
      <c r="AU46" s="431"/>
      <c r="AV46" s="420">
        <f>+[39]foreigndebt!AU17</f>
        <v>0</v>
      </c>
      <c r="AW46" s="419"/>
      <c r="AX46" s="388"/>
      <c r="AY46" s="404"/>
      <c r="AZ46" s="431"/>
      <c r="BA46" s="420">
        <f>+[39]foreigndebt!AZ17</f>
        <v>0</v>
      </c>
      <c r="BB46" s="419"/>
      <c r="BC46" s="388"/>
      <c r="BD46" s="404"/>
      <c r="BE46" s="431"/>
      <c r="BF46" s="420">
        <f>+[39]foreigndebt!BE17</f>
        <v>0</v>
      </c>
      <c r="BG46" s="419"/>
      <c r="BH46" s="388"/>
      <c r="BI46" s="404"/>
      <c r="BJ46" s="431"/>
      <c r="BK46" s="420">
        <f>+[39]foreigndebt!BJ17</f>
        <v>0</v>
      </c>
      <c r="BL46" s="419"/>
      <c r="BM46" s="388"/>
      <c r="BN46" s="404"/>
      <c r="BO46" s="431"/>
      <c r="BP46" s="420">
        <f>+[39]foreigndebt!BO17</f>
        <v>0</v>
      </c>
      <c r="BQ46" s="419"/>
      <c r="BR46" s="388"/>
      <c r="BS46" s="404"/>
      <c r="BT46" s="431"/>
      <c r="BU46" s="420">
        <f>+[39]foreigndebt!BT17</f>
        <v>91919748</v>
      </c>
      <c r="BV46" s="419"/>
      <c r="BW46" s="388"/>
      <c r="BX46" s="404"/>
      <c r="BY46" s="431"/>
      <c r="BZ46" s="420">
        <f>+[39]foreigndebt!CX17</f>
        <v>0</v>
      </c>
      <c r="CA46" s="419"/>
      <c r="CB46" s="388"/>
      <c r="CC46" s="404"/>
      <c r="CD46" s="431"/>
      <c r="CE46" s="420">
        <f>+[39]foreigndebt!DC17</f>
        <v>76052000</v>
      </c>
      <c r="CF46" s="419"/>
      <c r="CG46" s="388"/>
      <c r="CH46" s="404"/>
      <c r="CI46" s="431"/>
      <c r="CJ46" s="420">
        <f>+[39]foreigndebt!DH17</f>
        <v>0</v>
      </c>
      <c r="CK46" s="419"/>
      <c r="CL46" s="388"/>
      <c r="CM46" s="404"/>
      <c r="CN46" s="431"/>
      <c r="CO46" s="420">
        <f>+[39]foreigndebt!DM17</f>
        <v>0</v>
      </c>
      <c r="CP46" s="419"/>
      <c r="CQ46" s="388"/>
      <c r="CR46" s="404"/>
      <c r="CS46" s="431"/>
      <c r="CT46" s="420">
        <f>+[39]foreigndebt!DR17</f>
        <v>0</v>
      </c>
      <c r="CU46" s="419"/>
      <c r="CV46" s="388"/>
      <c r="CW46" s="404"/>
      <c r="CX46" s="431"/>
      <c r="CY46" s="420">
        <f>+[39]foreigndebt!DW17</f>
        <v>0</v>
      </c>
      <c r="CZ46" s="419"/>
      <c r="DA46" s="388"/>
      <c r="DB46" s="404"/>
      <c r="DC46" s="431"/>
      <c r="DD46" s="420">
        <f>+[39]foreigndebt!EB17</f>
        <v>0</v>
      </c>
      <c r="DE46" s="419"/>
      <c r="DF46" s="388"/>
      <c r="DG46" s="398"/>
      <c r="DJ46" s="411"/>
      <c r="DK46" s="411" t="e">
        <f>#REF!-#REF!</f>
        <v>#REF!</v>
      </c>
    </row>
    <row r="47" spans="1:115" ht="12.75" hidden="1" customHeight="1" x14ac:dyDescent="0.3">
      <c r="A47" s="388"/>
      <c r="B47" s="388"/>
      <c r="C47" s="398" t="s">
        <v>333</v>
      </c>
      <c r="D47" s="388"/>
      <c r="E47" s="403"/>
      <c r="F47" s="431"/>
      <c r="G47" s="431"/>
      <c r="H47" s="421">
        <f>-[39]foreigndebt!G19</f>
        <v>0</v>
      </c>
      <c r="I47" s="419"/>
      <c r="J47" s="388"/>
      <c r="K47" s="404"/>
      <c r="L47" s="431"/>
      <c r="M47" s="421">
        <f>-[39]foreigndebt!L19</f>
        <v>0</v>
      </c>
      <c r="N47" s="419"/>
      <c r="O47" s="388"/>
      <c r="P47" s="404"/>
      <c r="Q47" s="431"/>
      <c r="R47" s="421">
        <f>-[39]foreigndebt!Q19</f>
        <v>0</v>
      </c>
      <c r="S47" s="419"/>
      <c r="T47" s="388"/>
      <c r="U47" s="404"/>
      <c r="V47" s="431"/>
      <c r="W47" s="421">
        <f>-[39]foreigndebt!V19</f>
        <v>0</v>
      </c>
      <c r="X47" s="419"/>
      <c r="Y47" s="388"/>
      <c r="Z47" s="404"/>
      <c r="AA47" s="431"/>
      <c r="AB47" s="421">
        <f>-[39]foreigndebt!AA19</f>
        <v>0</v>
      </c>
      <c r="AC47" s="419"/>
      <c r="AD47" s="388"/>
      <c r="AE47" s="404"/>
      <c r="AF47" s="431"/>
      <c r="AG47" s="421">
        <f>-[39]foreigndebt!AF19</f>
        <v>0</v>
      </c>
      <c r="AH47" s="419"/>
      <c r="AI47" s="388"/>
      <c r="AJ47" s="404"/>
      <c r="AK47" s="431"/>
      <c r="AL47" s="421">
        <f>-[39]foreigndebt!AK19</f>
        <v>0</v>
      </c>
      <c r="AM47" s="419"/>
      <c r="AN47" s="388"/>
      <c r="AO47" s="404"/>
      <c r="AP47" s="431"/>
      <c r="AQ47" s="421">
        <f>-[39]foreigndebt!AP19</f>
        <v>0</v>
      </c>
      <c r="AR47" s="419"/>
      <c r="AS47" s="388"/>
      <c r="AT47" s="404"/>
      <c r="AU47" s="431"/>
      <c r="AV47" s="421">
        <f>-[39]foreigndebt!AU19</f>
        <v>0</v>
      </c>
      <c r="AW47" s="419"/>
      <c r="AX47" s="388"/>
      <c r="AY47" s="404"/>
      <c r="AZ47" s="431"/>
      <c r="BA47" s="421">
        <f>-[39]foreigndebt!AZ19</f>
        <v>0</v>
      </c>
      <c r="BB47" s="419"/>
      <c r="BC47" s="388"/>
      <c r="BD47" s="404"/>
      <c r="BE47" s="431"/>
      <c r="BF47" s="421">
        <f>-[39]foreigndebt!BE19</f>
        <v>0</v>
      </c>
      <c r="BG47" s="419"/>
      <c r="BH47" s="388"/>
      <c r="BI47" s="404"/>
      <c r="BJ47" s="431"/>
      <c r="BK47" s="421">
        <f>-[39]foreigndebt!BJ19</f>
        <v>0</v>
      </c>
      <c r="BL47" s="419"/>
      <c r="BM47" s="388"/>
      <c r="BN47" s="404"/>
      <c r="BO47" s="431"/>
      <c r="BP47" s="421">
        <f>-[39]foreigndebt!BO19</f>
        <v>0</v>
      </c>
      <c r="BQ47" s="419"/>
      <c r="BR47" s="388"/>
      <c r="BS47" s="404"/>
      <c r="BT47" s="431"/>
      <c r="BU47" s="421">
        <f>-[39]foreigndebt!BT19</f>
        <v>0</v>
      </c>
      <c r="BV47" s="419"/>
      <c r="BW47" s="388"/>
      <c r="BX47" s="404"/>
      <c r="BY47" s="431"/>
      <c r="BZ47" s="421">
        <f>-[39]foreigndebt!CX19</f>
        <v>0</v>
      </c>
      <c r="CA47" s="419"/>
      <c r="CB47" s="388"/>
      <c r="CC47" s="404"/>
      <c r="CD47" s="431"/>
      <c r="CE47" s="421">
        <f>-[39]foreigndebt!DC19</f>
        <v>0</v>
      </c>
      <c r="CF47" s="419"/>
      <c r="CG47" s="388"/>
      <c r="CH47" s="404"/>
      <c r="CI47" s="431"/>
      <c r="CJ47" s="421">
        <f>-[39]foreigndebt!DH19</f>
        <v>0</v>
      </c>
      <c r="CK47" s="419"/>
      <c r="CL47" s="388"/>
      <c r="CM47" s="404"/>
      <c r="CN47" s="431"/>
      <c r="CO47" s="421">
        <f>-[39]foreigndebt!DM19</f>
        <v>0</v>
      </c>
      <c r="CP47" s="419"/>
      <c r="CQ47" s="388"/>
      <c r="CR47" s="404"/>
      <c r="CS47" s="431"/>
      <c r="CT47" s="421">
        <f>-[39]foreigndebt!DR19</f>
        <v>0</v>
      </c>
      <c r="CU47" s="419"/>
      <c r="CV47" s="388"/>
      <c r="CW47" s="404"/>
      <c r="CX47" s="431"/>
      <c r="CY47" s="421">
        <f>-[39]foreigndebt!DW19</f>
        <v>0</v>
      </c>
      <c r="CZ47" s="419"/>
      <c r="DA47" s="388"/>
      <c r="DB47" s="404"/>
      <c r="DC47" s="431"/>
      <c r="DD47" s="421">
        <f>-[39]foreigndebt!EB19</f>
        <v>0</v>
      </c>
      <c r="DE47" s="419"/>
      <c r="DF47" s="388"/>
      <c r="DG47" s="398"/>
      <c r="DJ47" s="411"/>
      <c r="DK47" s="411" t="e">
        <f>#REF!-#REF!</f>
        <v>#REF!</v>
      </c>
    </row>
    <row r="48" spans="1:115" x14ac:dyDescent="0.3">
      <c r="A48" s="388"/>
      <c r="B48" s="388"/>
      <c r="C48" s="398" t="s">
        <v>334</v>
      </c>
      <c r="D48" s="388"/>
      <c r="E48" s="403"/>
      <c r="F48" s="431"/>
      <c r="G48" s="431"/>
      <c r="H48" s="421"/>
      <c r="I48" s="419"/>
      <c r="J48" s="388"/>
      <c r="K48" s="404"/>
      <c r="L48" s="431"/>
      <c r="M48" s="421"/>
      <c r="N48" s="419"/>
      <c r="O48" s="388"/>
      <c r="P48" s="404"/>
      <c r="Q48" s="431"/>
      <c r="R48" s="421"/>
      <c r="S48" s="419"/>
      <c r="T48" s="388"/>
      <c r="U48" s="404"/>
      <c r="V48" s="431"/>
      <c r="W48" s="421"/>
      <c r="X48" s="419"/>
      <c r="Y48" s="388"/>
      <c r="Z48" s="404"/>
      <c r="AA48" s="431"/>
      <c r="AB48" s="421"/>
      <c r="AC48" s="419"/>
      <c r="AD48" s="388"/>
      <c r="AE48" s="404"/>
      <c r="AF48" s="431"/>
      <c r="AG48" s="421"/>
      <c r="AH48" s="419"/>
      <c r="AI48" s="388"/>
      <c r="AJ48" s="404"/>
      <c r="AK48" s="431"/>
      <c r="AL48" s="421"/>
      <c r="AM48" s="419"/>
      <c r="AN48" s="388"/>
      <c r="AO48" s="404"/>
      <c r="AP48" s="431"/>
      <c r="AQ48" s="421"/>
      <c r="AR48" s="419"/>
      <c r="AS48" s="388"/>
      <c r="AT48" s="404"/>
      <c r="AU48" s="431"/>
      <c r="AV48" s="421"/>
      <c r="AW48" s="419"/>
      <c r="AX48" s="388"/>
      <c r="AY48" s="404"/>
      <c r="AZ48" s="431"/>
      <c r="BA48" s="421"/>
      <c r="BB48" s="419"/>
      <c r="BC48" s="388"/>
      <c r="BD48" s="404"/>
      <c r="BE48" s="431"/>
      <c r="BF48" s="421"/>
      <c r="BG48" s="419"/>
      <c r="BH48" s="388"/>
      <c r="BI48" s="404"/>
      <c r="BJ48" s="431"/>
      <c r="BK48" s="421"/>
      <c r="BL48" s="419"/>
      <c r="BM48" s="388"/>
      <c r="BN48" s="404"/>
      <c r="BO48" s="431"/>
      <c r="BP48" s="421"/>
      <c r="BQ48" s="419"/>
      <c r="BR48" s="388"/>
      <c r="BS48" s="404"/>
      <c r="BT48" s="431"/>
      <c r="BU48" s="421"/>
      <c r="BV48" s="419"/>
      <c r="BW48" s="388"/>
      <c r="BX48" s="404"/>
      <c r="BY48" s="431"/>
      <c r="BZ48" s="421"/>
      <c r="CA48" s="419"/>
      <c r="CB48" s="388"/>
      <c r="CC48" s="404"/>
      <c r="CD48" s="431"/>
      <c r="CE48" s="421"/>
      <c r="CF48" s="419"/>
      <c r="CG48" s="388"/>
      <c r="CH48" s="404"/>
      <c r="CI48" s="431"/>
      <c r="CJ48" s="421"/>
      <c r="CK48" s="419"/>
      <c r="CL48" s="388"/>
      <c r="CM48" s="404"/>
      <c r="CN48" s="431"/>
      <c r="CO48" s="421"/>
      <c r="CP48" s="419"/>
      <c r="CQ48" s="388"/>
      <c r="CR48" s="404"/>
      <c r="CS48" s="431"/>
      <c r="CT48" s="421"/>
      <c r="CU48" s="419"/>
      <c r="CV48" s="388"/>
      <c r="CW48" s="404"/>
      <c r="CX48" s="431"/>
      <c r="CY48" s="421"/>
      <c r="CZ48" s="419"/>
      <c r="DA48" s="388"/>
      <c r="DB48" s="404"/>
      <c r="DC48" s="431"/>
      <c r="DD48" s="421"/>
      <c r="DE48" s="419"/>
      <c r="DF48" s="388"/>
      <c r="DG48" s="398"/>
      <c r="DJ48" s="411"/>
      <c r="DK48" s="411" t="e">
        <f>#REF!-#REF!</f>
        <v>#REF!</v>
      </c>
    </row>
    <row r="49" spans="1:115" x14ac:dyDescent="0.3">
      <c r="A49" s="388"/>
      <c r="B49" s="388"/>
      <c r="C49" s="238" t="s">
        <v>347</v>
      </c>
      <c r="D49" s="388"/>
      <c r="E49" s="403"/>
      <c r="F49" s="431"/>
      <c r="G49" s="431"/>
      <c r="H49" s="421">
        <f>-[39]foreigndebt!G108</f>
        <v>-7961000</v>
      </c>
      <c r="I49" s="419"/>
      <c r="J49" s="388"/>
      <c r="K49" s="404"/>
      <c r="L49" s="431"/>
      <c r="M49" s="421">
        <f>-[39]foreigndebt!L108</f>
        <v>-391647</v>
      </c>
      <c r="N49" s="419"/>
      <c r="O49" s="388"/>
      <c r="P49" s="404"/>
      <c r="Q49" s="431"/>
      <c r="R49" s="421">
        <f>-[39]foreigndebt!Q108</f>
        <v>-1962723</v>
      </c>
      <c r="S49" s="419"/>
      <c r="T49" s="388"/>
      <c r="U49" s="404"/>
      <c r="V49" s="431"/>
      <c r="W49" s="421">
        <f>-[39]foreigndebt!V108</f>
        <v>-5604275</v>
      </c>
      <c r="X49" s="419"/>
      <c r="Y49" s="388"/>
      <c r="Z49" s="404"/>
      <c r="AA49" s="431"/>
      <c r="AB49" s="421">
        <f>-[39]foreigndebt!AA108</f>
        <v>0</v>
      </c>
      <c r="AC49" s="419"/>
      <c r="AD49" s="388"/>
      <c r="AE49" s="404"/>
      <c r="AF49" s="431"/>
      <c r="AG49" s="421">
        <f>-[39]foreigndebt!AF108</f>
        <v>0</v>
      </c>
      <c r="AH49" s="419"/>
      <c r="AI49" s="388"/>
      <c r="AJ49" s="404"/>
      <c r="AK49" s="431"/>
      <c r="AL49" s="421">
        <f>-[39]foreigndebt!AK108</f>
        <v>0</v>
      </c>
      <c r="AM49" s="419"/>
      <c r="AN49" s="388"/>
      <c r="AO49" s="404"/>
      <c r="AP49" s="431"/>
      <c r="AQ49" s="421">
        <f>-[39]foreigndebt!AP108</f>
        <v>0</v>
      </c>
      <c r="AR49" s="419"/>
      <c r="AS49" s="388"/>
      <c r="AT49" s="404"/>
      <c r="AU49" s="431"/>
      <c r="AV49" s="421">
        <f>-[39]foreigndebt!AU108</f>
        <v>-1940</v>
      </c>
      <c r="AW49" s="419"/>
      <c r="AX49" s="388"/>
      <c r="AY49" s="404"/>
      <c r="AZ49" s="431"/>
      <c r="BA49" s="421">
        <f>-[39]foreigndebt!AZ108</f>
        <v>0</v>
      </c>
      <c r="BB49" s="419"/>
      <c r="BC49" s="388"/>
      <c r="BD49" s="404"/>
      <c r="BE49" s="431"/>
      <c r="BF49" s="421">
        <f>-[39]foreigndebt!BE108</f>
        <v>0</v>
      </c>
      <c r="BG49" s="419"/>
      <c r="BH49" s="388"/>
      <c r="BI49" s="404"/>
      <c r="BJ49" s="431"/>
      <c r="BK49" s="421">
        <f>-[39]foreigndebt!BJ108</f>
        <v>0</v>
      </c>
      <c r="BL49" s="419"/>
      <c r="BM49" s="388"/>
      <c r="BN49" s="404"/>
      <c r="BO49" s="431"/>
      <c r="BP49" s="421">
        <f>-[39]foreigndebt!BO108</f>
        <v>0</v>
      </c>
      <c r="BQ49" s="419"/>
      <c r="BR49" s="388"/>
      <c r="BS49" s="404"/>
      <c r="BT49" s="431"/>
      <c r="BU49" s="421">
        <f>-[39]foreigndebt!BT108</f>
        <v>-7960585</v>
      </c>
      <c r="BV49" s="419"/>
      <c r="BW49" s="388"/>
      <c r="BX49" s="404"/>
      <c r="BY49" s="431"/>
      <c r="BZ49" s="421">
        <f>-[39]foreigndebt!CX108</f>
        <v>0</v>
      </c>
      <c r="CA49" s="419"/>
      <c r="CB49" s="388"/>
      <c r="CC49" s="404"/>
      <c r="CD49" s="431"/>
      <c r="CE49" s="421">
        <f>-[39]foreigndebt!DC108</f>
        <v>0</v>
      </c>
      <c r="CF49" s="419"/>
      <c r="CG49" s="388"/>
      <c r="CH49" s="404"/>
      <c r="CI49" s="431"/>
      <c r="CJ49" s="421">
        <f>-[39]foreigndebt!DH108</f>
        <v>-391647</v>
      </c>
      <c r="CK49" s="419"/>
      <c r="CL49" s="388"/>
      <c r="CM49" s="404"/>
      <c r="CN49" s="431"/>
      <c r="CO49" s="421">
        <f>-[39]foreigndebt!DM108</f>
        <v>-1940</v>
      </c>
      <c r="CP49" s="419"/>
      <c r="CQ49" s="388"/>
      <c r="CR49" s="404"/>
      <c r="CS49" s="431"/>
      <c r="CT49" s="421">
        <f>-[39]foreigndebt!DR108</f>
        <v>0</v>
      </c>
      <c r="CU49" s="419"/>
      <c r="CV49" s="388"/>
      <c r="CW49" s="404"/>
      <c r="CX49" s="431"/>
      <c r="CY49" s="421">
        <f>-[39]foreigndebt!DW108</f>
        <v>0</v>
      </c>
      <c r="CZ49" s="419"/>
      <c r="DA49" s="388"/>
      <c r="DB49" s="404"/>
      <c r="DC49" s="431"/>
      <c r="DD49" s="421">
        <f>-[39]foreigndebt!EB108</f>
        <v>0</v>
      </c>
      <c r="DE49" s="419"/>
      <c r="DF49" s="388"/>
      <c r="DG49" s="398"/>
      <c r="DJ49" s="411"/>
      <c r="DK49" s="411" t="e">
        <f>#REF!-#REF!</f>
        <v>#REF!</v>
      </c>
    </row>
    <row r="50" spans="1:115" x14ac:dyDescent="0.3">
      <c r="A50" s="388"/>
      <c r="B50" s="388"/>
      <c r="C50" s="238" t="s">
        <v>348</v>
      </c>
      <c r="D50" s="388"/>
      <c r="E50" s="403"/>
      <c r="F50" s="431"/>
      <c r="G50" s="431"/>
      <c r="H50" s="424">
        <f>-[39]foreigndebt!G109</f>
        <v>-6456000</v>
      </c>
      <c r="I50" s="419"/>
      <c r="J50" s="388"/>
      <c r="K50" s="404"/>
      <c r="L50" s="431"/>
      <c r="M50" s="424">
        <f>-[39]foreigndebt!L109</f>
        <v>-386018</v>
      </c>
      <c r="N50" s="419"/>
      <c r="O50" s="388"/>
      <c r="P50" s="404"/>
      <c r="Q50" s="431"/>
      <c r="R50" s="424">
        <f>-[39]foreigndebt!Q109</f>
        <v>-2969263</v>
      </c>
      <c r="S50" s="419"/>
      <c r="T50" s="388"/>
      <c r="U50" s="404"/>
      <c r="V50" s="431"/>
      <c r="W50" s="424">
        <f>-[39]foreigndebt!V109</f>
        <v>-3095425</v>
      </c>
      <c r="X50" s="419"/>
      <c r="Y50" s="388"/>
      <c r="Z50" s="404"/>
      <c r="AA50" s="431"/>
      <c r="AB50" s="424">
        <f>-[39]foreigndebt!AA109</f>
        <v>0</v>
      </c>
      <c r="AC50" s="419"/>
      <c r="AD50" s="388"/>
      <c r="AE50" s="404"/>
      <c r="AF50" s="431"/>
      <c r="AG50" s="424">
        <f>-[39]foreigndebt!AF109</f>
        <v>0</v>
      </c>
      <c r="AH50" s="419"/>
      <c r="AI50" s="388"/>
      <c r="AJ50" s="404"/>
      <c r="AK50" s="431"/>
      <c r="AL50" s="424">
        <f>-[39]foreigndebt!AK109</f>
        <v>0</v>
      </c>
      <c r="AM50" s="419"/>
      <c r="AN50" s="388"/>
      <c r="AO50" s="404"/>
      <c r="AP50" s="431"/>
      <c r="AQ50" s="424">
        <f>-[39]foreigndebt!AP109</f>
        <v>0</v>
      </c>
      <c r="AR50" s="419"/>
      <c r="AS50" s="388"/>
      <c r="AT50" s="404"/>
      <c r="AU50" s="431"/>
      <c r="AV50" s="424">
        <f>-[39]foreigndebt!AU109</f>
        <v>-5027</v>
      </c>
      <c r="AW50" s="419"/>
      <c r="AX50" s="388"/>
      <c r="AY50" s="404"/>
      <c r="AZ50" s="431"/>
      <c r="BA50" s="424">
        <f>-[39]foreigndebt!AZ109</f>
        <v>0</v>
      </c>
      <c r="BB50" s="419"/>
      <c r="BC50" s="388"/>
      <c r="BD50" s="404"/>
      <c r="BE50" s="431"/>
      <c r="BF50" s="424">
        <f>-[39]foreigndebt!BE109</f>
        <v>0</v>
      </c>
      <c r="BG50" s="419"/>
      <c r="BH50" s="388"/>
      <c r="BI50" s="404"/>
      <c r="BJ50" s="431"/>
      <c r="BK50" s="424">
        <f>-[39]foreigndebt!BJ109</f>
        <v>0</v>
      </c>
      <c r="BL50" s="419"/>
      <c r="BM50" s="388"/>
      <c r="BN50" s="404"/>
      <c r="BO50" s="431"/>
      <c r="BP50" s="424">
        <f>-[39]foreigndebt!BO109</f>
        <v>0</v>
      </c>
      <c r="BQ50" s="419"/>
      <c r="BR50" s="388"/>
      <c r="BS50" s="404"/>
      <c r="BT50" s="431"/>
      <c r="BU50" s="424">
        <f>-[39]foreigndebt!BT109</f>
        <v>-6455733</v>
      </c>
      <c r="BV50" s="419"/>
      <c r="BW50" s="388"/>
      <c r="BX50" s="404"/>
      <c r="BY50" s="431"/>
      <c r="BZ50" s="424">
        <f>-[39]foreigndebt!CX109</f>
        <v>0</v>
      </c>
      <c r="CA50" s="419"/>
      <c r="CB50" s="388"/>
      <c r="CC50" s="404"/>
      <c r="CD50" s="431"/>
      <c r="CE50" s="424">
        <f>-[39]foreigndebt!DC109</f>
        <v>0</v>
      </c>
      <c r="CF50" s="419"/>
      <c r="CG50" s="388"/>
      <c r="CH50" s="404"/>
      <c r="CI50" s="431"/>
      <c r="CJ50" s="424">
        <f>-[39]foreigndebt!DH109</f>
        <v>-262844</v>
      </c>
      <c r="CK50" s="419"/>
      <c r="CL50" s="388"/>
      <c r="CM50" s="404"/>
      <c r="CN50" s="431"/>
      <c r="CO50" s="424">
        <f>-[39]foreigndebt!DM109</f>
        <v>-4425</v>
      </c>
      <c r="CP50" s="419"/>
      <c r="CQ50" s="388"/>
      <c r="CR50" s="404"/>
      <c r="CS50" s="431"/>
      <c r="CT50" s="424">
        <f>-[39]foreigndebt!DR109</f>
        <v>0</v>
      </c>
      <c r="CU50" s="419"/>
      <c r="CV50" s="388"/>
      <c r="CW50" s="404"/>
      <c r="CX50" s="431"/>
      <c r="CY50" s="424">
        <f>-[39]foreigndebt!DW109</f>
        <v>0</v>
      </c>
      <c r="CZ50" s="419"/>
      <c r="DA50" s="388"/>
      <c r="DB50" s="404"/>
      <c r="DC50" s="431"/>
      <c r="DD50" s="424">
        <f>-[39]foreigndebt!EB109</f>
        <v>0</v>
      </c>
      <c r="DE50" s="419"/>
      <c r="DF50" s="388"/>
      <c r="DG50" s="398"/>
      <c r="DJ50" s="411"/>
      <c r="DK50" s="411" t="e">
        <f>#REF!-#REF!</f>
        <v>#REF!</v>
      </c>
    </row>
    <row r="51" spans="1:115" ht="13.95" hidden="1" customHeight="1" x14ac:dyDescent="0.3">
      <c r="A51" s="388"/>
      <c r="B51" s="388"/>
      <c r="C51" s="398"/>
      <c r="D51" s="388"/>
      <c r="E51" s="403"/>
      <c r="F51" s="431"/>
      <c r="G51" s="431"/>
      <c r="H51" s="388"/>
      <c r="I51" s="419"/>
      <c r="J51" s="388"/>
      <c r="K51" s="404"/>
      <c r="L51" s="431"/>
      <c r="M51" s="388"/>
      <c r="N51" s="419"/>
      <c r="O51" s="388"/>
      <c r="P51" s="404"/>
      <c r="Q51" s="431"/>
      <c r="R51" s="388"/>
      <c r="S51" s="419"/>
      <c r="T51" s="388"/>
      <c r="U51" s="404"/>
      <c r="V51" s="431"/>
      <c r="W51" s="388"/>
      <c r="X51" s="419"/>
      <c r="Y51" s="388"/>
      <c r="Z51" s="404"/>
      <c r="AA51" s="431"/>
      <c r="AB51" s="388"/>
      <c r="AC51" s="419"/>
      <c r="AD51" s="388"/>
      <c r="AE51" s="404"/>
      <c r="AF51" s="431"/>
      <c r="AG51" s="388"/>
      <c r="AH51" s="419"/>
      <c r="AI51" s="388"/>
      <c r="AJ51" s="404"/>
      <c r="AK51" s="431"/>
      <c r="AL51" s="388"/>
      <c r="AM51" s="419"/>
      <c r="AN51" s="388"/>
      <c r="AO51" s="404"/>
      <c r="AP51" s="431"/>
      <c r="AQ51" s="388"/>
      <c r="AR51" s="419"/>
      <c r="AS51" s="388"/>
      <c r="AT51" s="404"/>
      <c r="AU51" s="431"/>
      <c r="AV51" s="388"/>
      <c r="AW51" s="419"/>
      <c r="AX51" s="388"/>
      <c r="AY51" s="404"/>
      <c r="AZ51" s="431"/>
      <c r="BA51" s="388"/>
      <c r="BB51" s="419"/>
      <c r="BC51" s="388"/>
      <c r="BD51" s="404"/>
      <c r="BE51" s="431"/>
      <c r="BF51" s="388"/>
      <c r="BG51" s="419"/>
      <c r="BH51" s="388"/>
      <c r="BI51" s="404"/>
      <c r="BJ51" s="431"/>
      <c r="BK51" s="388"/>
      <c r="BL51" s="419"/>
      <c r="BM51" s="388"/>
      <c r="BN51" s="404"/>
      <c r="BO51" s="431"/>
      <c r="BP51" s="388"/>
      <c r="BQ51" s="419"/>
      <c r="BR51" s="388"/>
      <c r="BS51" s="404"/>
      <c r="BT51" s="431"/>
      <c r="BU51" s="388"/>
      <c r="BV51" s="419"/>
      <c r="BW51" s="388"/>
      <c r="BX51" s="404"/>
      <c r="BY51" s="431"/>
      <c r="BZ51" s="388"/>
      <c r="CA51" s="419"/>
      <c r="CB51" s="388"/>
      <c r="CC51" s="404"/>
      <c r="CD51" s="431"/>
      <c r="CE51" s="388"/>
      <c r="CF51" s="419"/>
      <c r="CG51" s="388"/>
      <c r="CH51" s="404"/>
      <c r="CI51" s="431"/>
      <c r="CJ51" s="388"/>
      <c r="CK51" s="419"/>
      <c r="CL51" s="388"/>
      <c r="CM51" s="404"/>
      <c r="CN51" s="431"/>
      <c r="CO51" s="388"/>
      <c r="CP51" s="419"/>
      <c r="CQ51" s="388"/>
      <c r="CR51" s="404"/>
      <c r="CS51" s="431"/>
      <c r="CT51" s="388"/>
      <c r="CU51" s="419"/>
      <c r="CV51" s="388"/>
      <c r="CW51" s="404"/>
      <c r="CX51" s="431"/>
      <c r="CY51" s="388"/>
      <c r="CZ51" s="419"/>
      <c r="DA51" s="388"/>
      <c r="DB51" s="404"/>
      <c r="DC51" s="431"/>
      <c r="DD51" s="388"/>
      <c r="DE51" s="419"/>
      <c r="DF51" s="388"/>
      <c r="DG51" s="398"/>
      <c r="DJ51" s="411"/>
      <c r="DK51" s="411" t="e">
        <f>#REF!-#REF!</f>
        <v>#REF!</v>
      </c>
    </row>
    <row r="52" spans="1:115" ht="13.95" hidden="1" customHeight="1" x14ac:dyDescent="0.3">
      <c r="A52" s="388"/>
      <c r="B52" s="388"/>
      <c r="C52" s="398" t="s">
        <v>337</v>
      </c>
      <c r="D52" s="388"/>
      <c r="E52" s="403"/>
      <c r="F52" s="431"/>
      <c r="G52" s="431"/>
      <c r="H52" s="388">
        <f>SUM(H53:H57)</f>
        <v>0</v>
      </c>
      <c r="I52" s="419"/>
      <c r="J52" s="388"/>
      <c r="K52" s="404"/>
      <c r="L52" s="431"/>
      <c r="M52" s="388">
        <f>SUM(M53:M57)</f>
        <v>0</v>
      </c>
      <c r="N52" s="419"/>
      <c r="O52" s="388"/>
      <c r="P52" s="404"/>
      <c r="Q52" s="431"/>
      <c r="R52" s="388">
        <f>SUM(R53:R57)</f>
        <v>0</v>
      </c>
      <c r="S52" s="419"/>
      <c r="T52" s="388"/>
      <c r="U52" s="404"/>
      <c r="V52" s="431"/>
      <c r="W52" s="388">
        <f>SUM(W53:W57)</f>
        <v>0</v>
      </c>
      <c r="X52" s="419"/>
      <c r="Y52" s="388"/>
      <c r="Z52" s="404"/>
      <c r="AA52" s="431"/>
      <c r="AB52" s="388">
        <f>SUM(AB53:AB57)</f>
        <v>0</v>
      </c>
      <c r="AC52" s="419"/>
      <c r="AD52" s="388"/>
      <c r="AE52" s="404"/>
      <c r="AF52" s="431"/>
      <c r="AG52" s="388">
        <f>SUM(AG53:AG57)</f>
        <v>0</v>
      </c>
      <c r="AH52" s="419"/>
      <c r="AI52" s="388"/>
      <c r="AJ52" s="404"/>
      <c r="AK52" s="431"/>
      <c r="AL52" s="388">
        <f>SUM(AL53:AL57)</f>
        <v>0</v>
      </c>
      <c r="AM52" s="419"/>
      <c r="AN52" s="388"/>
      <c r="AO52" s="404"/>
      <c r="AP52" s="431"/>
      <c r="AQ52" s="388">
        <f>SUM(AQ53:AQ57)</f>
        <v>0</v>
      </c>
      <c r="AR52" s="419"/>
      <c r="AS52" s="388"/>
      <c r="AT52" s="404"/>
      <c r="AU52" s="431"/>
      <c r="AV52" s="388">
        <f>SUM(AV53:AV57)</f>
        <v>0</v>
      </c>
      <c r="AW52" s="419"/>
      <c r="AX52" s="388"/>
      <c r="AY52" s="404"/>
      <c r="AZ52" s="431"/>
      <c r="BA52" s="388">
        <f>SUM(BA53:BA57)</f>
        <v>0</v>
      </c>
      <c r="BB52" s="419"/>
      <c r="BC52" s="388"/>
      <c r="BD52" s="404"/>
      <c r="BE52" s="431"/>
      <c r="BF52" s="388">
        <f>SUM(BF53:BF57)</f>
        <v>0</v>
      </c>
      <c r="BG52" s="419"/>
      <c r="BH52" s="388"/>
      <c r="BI52" s="404"/>
      <c r="BJ52" s="431"/>
      <c r="BK52" s="388">
        <f>SUM(BK53:BK57)</f>
        <v>0</v>
      </c>
      <c r="BL52" s="419"/>
      <c r="BM52" s="388"/>
      <c r="BN52" s="404"/>
      <c r="BO52" s="431"/>
      <c r="BP52" s="388">
        <f>SUM(BP53:BP57)</f>
        <v>0</v>
      </c>
      <c r="BQ52" s="419"/>
      <c r="BR52" s="388"/>
      <c r="BS52" s="404"/>
      <c r="BT52" s="431"/>
      <c r="BU52" s="388">
        <f>SUM(BU53:BU57)</f>
        <v>0</v>
      </c>
      <c r="BV52" s="419"/>
      <c r="BW52" s="388"/>
      <c r="BX52" s="404"/>
      <c r="BY52" s="431"/>
      <c r="BZ52" s="388">
        <f>SUM(BZ53:BZ57)</f>
        <v>0</v>
      </c>
      <c r="CA52" s="419"/>
      <c r="CB52" s="388"/>
      <c r="CC52" s="404"/>
      <c r="CD52" s="431"/>
      <c r="CE52" s="388">
        <f>SUM(CE53:CE57)</f>
        <v>0</v>
      </c>
      <c r="CF52" s="419"/>
      <c r="CG52" s="388"/>
      <c r="CH52" s="404"/>
      <c r="CI52" s="431"/>
      <c r="CJ52" s="388">
        <f>SUM(CJ53:CJ57)</f>
        <v>0</v>
      </c>
      <c r="CK52" s="419"/>
      <c r="CL52" s="388"/>
      <c r="CM52" s="404"/>
      <c r="CN52" s="431"/>
      <c r="CO52" s="388">
        <f>SUM(CO53:CO57)</f>
        <v>0</v>
      </c>
      <c r="CP52" s="419"/>
      <c r="CQ52" s="388"/>
      <c r="CR52" s="404"/>
      <c r="CS52" s="431"/>
      <c r="CT52" s="388">
        <f>SUM(CT53:CT57)</f>
        <v>0</v>
      </c>
      <c r="CU52" s="419"/>
      <c r="CV52" s="388"/>
      <c r="CW52" s="404"/>
      <c r="CX52" s="431"/>
      <c r="CY52" s="388">
        <f>SUM(CY53:CY57)</f>
        <v>0</v>
      </c>
      <c r="CZ52" s="419"/>
      <c r="DA52" s="388"/>
      <c r="DB52" s="404"/>
      <c r="DC52" s="431"/>
      <c r="DD52" s="388">
        <f>SUM(DD53:DD57)</f>
        <v>0</v>
      </c>
      <c r="DE52" s="419"/>
      <c r="DF52" s="388"/>
      <c r="DG52" s="398"/>
      <c r="DJ52" s="411"/>
      <c r="DK52" s="411" t="e">
        <f>#REF!-#REF!</f>
        <v>#REF!</v>
      </c>
    </row>
    <row r="53" spans="1:115" ht="13.95" hidden="1" customHeight="1" x14ac:dyDescent="0.3">
      <c r="A53" s="388"/>
      <c r="B53" s="388"/>
      <c r="C53" s="398" t="s">
        <v>331</v>
      </c>
      <c r="D53" s="388"/>
      <c r="E53" s="403"/>
      <c r="F53" s="431"/>
      <c r="G53" s="431"/>
      <c r="H53" s="420">
        <f>[39]foreigndebt!G62</f>
        <v>0</v>
      </c>
      <c r="I53" s="419"/>
      <c r="J53" s="388"/>
      <c r="K53" s="404"/>
      <c r="L53" s="431"/>
      <c r="M53" s="420">
        <f>[39]foreigndebt!L62</f>
        <v>0</v>
      </c>
      <c r="N53" s="419"/>
      <c r="O53" s="388"/>
      <c r="P53" s="404"/>
      <c r="Q53" s="431"/>
      <c r="R53" s="420">
        <f>[39]foreigndebt!Q62</f>
        <v>0</v>
      </c>
      <c r="S53" s="419"/>
      <c r="T53" s="388"/>
      <c r="U53" s="404"/>
      <c r="V53" s="431"/>
      <c r="W53" s="420">
        <f>[39]foreigndebt!V62</f>
        <v>0</v>
      </c>
      <c r="X53" s="419"/>
      <c r="Y53" s="388"/>
      <c r="Z53" s="404"/>
      <c r="AA53" s="431"/>
      <c r="AB53" s="420">
        <f>[39]foreigndebt!AA62</f>
        <v>0</v>
      </c>
      <c r="AC53" s="419"/>
      <c r="AD53" s="388"/>
      <c r="AE53" s="404"/>
      <c r="AF53" s="431"/>
      <c r="AG53" s="420">
        <f>[39]foreigndebt!AF62</f>
        <v>0</v>
      </c>
      <c r="AH53" s="419"/>
      <c r="AI53" s="388"/>
      <c r="AJ53" s="404"/>
      <c r="AK53" s="431"/>
      <c r="AL53" s="420">
        <f>[39]foreigndebt!AK62</f>
        <v>0</v>
      </c>
      <c r="AM53" s="419"/>
      <c r="AN53" s="388"/>
      <c r="AO53" s="404"/>
      <c r="AP53" s="431"/>
      <c r="AQ53" s="420">
        <f>[39]foreigndebt!AP62</f>
        <v>0</v>
      </c>
      <c r="AR53" s="419"/>
      <c r="AS53" s="388"/>
      <c r="AT53" s="404"/>
      <c r="AU53" s="431"/>
      <c r="AV53" s="420">
        <f>[39]foreigndebt!AU62</f>
        <v>0</v>
      </c>
      <c r="AW53" s="419"/>
      <c r="AX53" s="388"/>
      <c r="AY53" s="404"/>
      <c r="AZ53" s="431"/>
      <c r="BA53" s="420">
        <f>[39]foreigndebt!AZ62</f>
        <v>0</v>
      </c>
      <c r="BB53" s="419"/>
      <c r="BC53" s="388"/>
      <c r="BD53" s="404"/>
      <c r="BE53" s="431"/>
      <c r="BF53" s="420">
        <f>[39]foreigndebt!BE62</f>
        <v>0</v>
      </c>
      <c r="BG53" s="419"/>
      <c r="BH53" s="388"/>
      <c r="BI53" s="404"/>
      <c r="BJ53" s="431"/>
      <c r="BK53" s="420">
        <f>[39]foreigndebt!BJ62</f>
        <v>0</v>
      </c>
      <c r="BL53" s="419"/>
      <c r="BM53" s="388"/>
      <c r="BN53" s="404"/>
      <c r="BO53" s="431"/>
      <c r="BP53" s="420">
        <f>[39]foreigndebt!BO62</f>
        <v>0</v>
      </c>
      <c r="BQ53" s="419"/>
      <c r="BR53" s="388"/>
      <c r="BS53" s="404"/>
      <c r="BT53" s="431"/>
      <c r="BU53" s="420">
        <f>[39]foreigndebt!BT62</f>
        <v>0</v>
      </c>
      <c r="BV53" s="419"/>
      <c r="BW53" s="388"/>
      <c r="BX53" s="404"/>
      <c r="BY53" s="431"/>
      <c r="BZ53" s="420">
        <f>[39]foreigndebt!CX62</f>
        <v>0</v>
      </c>
      <c r="CA53" s="419"/>
      <c r="CB53" s="388"/>
      <c r="CC53" s="404"/>
      <c r="CD53" s="431"/>
      <c r="CE53" s="420">
        <f>[39]foreigndebt!DC62</f>
        <v>0</v>
      </c>
      <c r="CF53" s="419"/>
      <c r="CG53" s="388"/>
      <c r="CH53" s="404"/>
      <c r="CI53" s="431"/>
      <c r="CJ53" s="420">
        <f>[39]foreigndebt!DH62</f>
        <v>0</v>
      </c>
      <c r="CK53" s="419"/>
      <c r="CL53" s="388"/>
      <c r="CM53" s="404"/>
      <c r="CN53" s="431"/>
      <c r="CO53" s="420">
        <f>[39]foreigndebt!DM62</f>
        <v>0</v>
      </c>
      <c r="CP53" s="419"/>
      <c r="CQ53" s="388"/>
      <c r="CR53" s="404"/>
      <c r="CS53" s="431"/>
      <c r="CT53" s="420">
        <f>[39]foreigndebt!DR62</f>
        <v>0</v>
      </c>
      <c r="CU53" s="419"/>
      <c r="CV53" s="388"/>
      <c r="CW53" s="404"/>
      <c r="CX53" s="431"/>
      <c r="CY53" s="420">
        <f>[39]foreigndebt!DW62</f>
        <v>0</v>
      </c>
      <c r="CZ53" s="419"/>
      <c r="DA53" s="388"/>
      <c r="DB53" s="404"/>
      <c r="DC53" s="431"/>
      <c r="DD53" s="420">
        <f>[39]foreigndebt!EB62</f>
        <v>0</v>
      </c>
      <c r="DE53" s="419"/>
      <c r="DF53" s="388"/>
      <c r="DG53" s="398"/>
      <c r="DJ53" s="411"/>
      <c r="DK53" s="411" t="e">
        <f>#REF!-#REF!</f>
        <v>#REF!</v>
      </c>
    </row>
    <row r="54" spans="1:115" ht="13.95" hidden="1" customHeight="1" x14ac:dyDescent="0.3">
      <c r="A54" s="388"/>
      <c r="B54" s="388"/>
      <c r="C54" s="398" t="s">
        <v>333</v>
      </c>
      <c r="D54" s="388"/>
      <c r="E54" s="403"/>
      <c r="F54" s="431"/>
      <c r="G54" s="431"/>
      <c r="H54" s="421">
        <f>-[39]foreigndebt!G64</f>
        <v>0</v>
      </c>
      <c r="I54" s="419"/>
      <c r="J54" s="388"/>
      <c r="K54" s="404"/>
      <c r="L54" s="431"/>
      <c r="M54" s="421">
        <f>-[39]foreigndebt!L64</f>
        <v>0</v>
      </c>
      <c r="N54" s="419"/>
      <c r="O54" s="388"/>
      <c r="P54" s="404"/>
      <c r="Q54" s="431"/>
      <c r="R54" s="421">
        <f>-[39]foreigndebt!Q64</f>
        <v>0</v>
      </c>
      <c r="S54" s="419"/>
      <c r="T54" s="388"/>
      <c r="U54" s="404"/>
      <c r="V54" s="431"/>
      <c r="W54" s="421">
        <f>-[39]foreigndebt!V64</f>
        <v>0</v>
      </c>
      <c r="X54" s="419"/>
      <c r="Y54" s="388"/>
      <c r="Z54" s="404"/>
      <c r="AA54" s="431"/>
      <c r="AB54" s="421">
        <f>-[39]foreigndebt!AA64</f>
        <v>0</v>
      </c>
      <c r="AC54" s="419"/>
      <c r="AD54" s="388"/>
      <c r="AE54" s="404"/>
      <c r="AF54" s="431"/>
      <c r="AG54" s="421">
        <f>-[39]foreigndebt!AF64</f>
        <v>0</v>
      </c>
      <c r="AH54" s="419"/>
      <c r="AI54" s="388"/>
      <c r="AJ54" s="404"/>
      <c r="AK54" s="431"/>
      <c r="AL54" s="421">
        <f>-[39]foreigndebt!AK64</f>
        <v>0</v>
      </c>
      <c r="AM54" s="419"/>
      <c r="AN54" s="388"/>
      <c r="AO54" s="404"/>
      <c r="AP54" s="431"/>
      <c r="AQ54" s="421">
        <f>-[39]foreigndebt!AP64</f>
        <v>0</v>
      </c>
      <c r="AR54" s="419"/>
      <c r="AS54" s="388"/>
      <c r="AT54" s="404"/>
      <c r="AU54" s="431"/>
      <c r="AV54" s="421">
        <f>-[39]foreigndebt!AU64</f>
        <v>0</v>
      </c>
      <c r="AW54" s="419"/>
      <c r="AX54" s="388"/>
      <c r="AY54" s="404"/>
      <c r="AZ54" s="431"/>
      <c r="BA54" s="421">
        <f>-[39]foreigndebt!AZ64</f>
        <v>0</v>
      </c>
      <c r="BB54" s="419"/>
      <c r="BC54" s="388"/>
      <c r="BD54" s="404"/>
      <c r="BE54" s="431"/>
      <c r="BF54" s="421">
        <f>-[39]foreigndebt!BE64</f>
        <v>0</v>
      </c>
      <c r="BG54" s="419"/>
      <c r="BH54" s="388"/>
      <c r="BI54" s="404"/>
      <c r="BJ54" s="431"/>
      <c r="BK54" s="421">
        <f>-[39]foreigndebt!BJ64</f>
        <v>0</v>
      </c>
      <c r="BL54" s="419"/>
      <c r="BM54" s="388"/>
      <c r="BN54" s="404"/>
      <c r="BO54" s="431"/>
      <c r="BP54" s="421">
        <f>-[39]foreigndebt!BO64</f>
        <v>0</v>
      </c>
      <c r="BQ54" s="419"/>
      <c r="BR54" s="388"/>
      <c r="BS54" s="404"/>
      <c r="BT54" s="431"/>
      <c r="BU54" s="421">
        <f>-[39]foreigndebt!BT64</f>
        <v>0</v>
      </c>
      <c r="BV54" s="419"/>
      <c r="BW54" s="388"/>
      <c r="BX54" s="404"/>
      <c r="BY54" s="431"/>
      <c r="BZ54" s="421">
        <f>-[39]foreigndebt!CX64</f>
        <v>0</v>
      </c>
      <c r="CA54" s="419"/>
      <c r="CB54" s="388"/>
      <c r="CC54" s="404"/>
      <c r="CD54" s="431"/>
      <c r="CE54" s="421">
        <f>-[39]foreigndebt!DC64</f>
        <v>0</v>
      </c>
      <c r="CF54" s="419"/>
      <c r="CG54" s="388"/>
      <c r="CH54" s="404"/>
      <c r="CI54" s="431"/>
      <c r="CJ54" s="421">
        <f>-[39]foreigndebt!DH64</f>
        <v>0</v>
      </c>
      <c r="CK54" s="419"/>
      <c r="CL54" s="388"/>
      <c r="CM54" s="404"/>
      <c r="CN54" s="431"/>
      <c r="CO54" s="421">
        <f>-[39]foreigndebt!DM64</f>
        <v>0</v>
      </c>
      <c r="CP54" s="419"/>
      <c r="CQ54" s="388"/>
      <c r="CR54" s="404"/>
      <c r="CS54" s="431"/>
      <c r="CT54" s="421">
        <f>-[39]foreigndebt!DR64</f>
        <v>0</v>
      </c>
      <c r="CU54" s="419"/>
      <c r="CV54" s="388"/>
      <c r="CW54" s="404"/>
      <c r="CX54" s="431"/>
      <c r="CY54" s="421">
        <f>-[39]foreigndebt!DW64</f>
        <v>0</v>
      </c>
      <c r="CZ54" s="419"/>
      <c r="DA54" s="388"/>
      <c r="DB54" s="404"/>
      <c r="DC54" s="431"/>
      <c r="DD54" s="421">
        <f>-[39]foreigndebt!EB64</f>
        <v>0</v>
      </c>
      <c r="DE54" s="419"/>
      <c r="DF54" s="388"/>
      <c r="DG54" s="398"/>
      <c r="DJ54" s="411"/>
      <c r="DK54" s="411" t="e">
        <f>#REF!-#REF!</f>
        <v>#REF!</v>
      </c>
    </row>
    <row r="55" spans="1:115" ht="13.95" hidden="1" customHeight="1" x14ac:dyDescent="0.3">
      <c r="A55" s="388"/>
      <c r="B55" s="388"/>
      <c r="C55" s="398" t="s">
        <v>349</v>
      </c>
      <c r="D55" s="388"/>
      <c r="E55" s="403"/>
      <c r="F55" s="431"/>
      <c r="G55" s="431"/>
      <c r="H55" s="421"/>
      <c r="I55" s="419"/>
      <c r="J55" s="388"/>
      <c r="K55" s="404"/>
      <c r="L55" s="431"/>
      <c r="M55" s="421"/>
      <c r="N55" s="419"/>
      <c r="O55" s="388"/>
      <c r="P55" s="404"/>
      <c r="Q55" s="431"/>
      <c r="R55" s="421"/>
      <c r="S55" s="419"/>
      <c r="T55" s="388"/>
      <c r="U55" s="404"/>
      <c r="V55" s="431"/>
      <c r="W55" s="421"/>
      <c r="X55" s="419"/>
      <c r="Y55" s="388"/>
      <c r="Z55" s="404"/>
      <c r="AA55" s="431"/>
      <c r="AB55" s="421"/>
      <c r="AC55" s="419"/>
      <c r="AD55" s="388"/>
      <c r="AE55" s="404"/>
      <c r="AF55" s="431"/>
      <c r="AG55" s="421"/>
      <c r="AH55" s="419"/>
      <c r="AI55" s="388"/>
      <c r="AJ55" s="404"/>
      <c r="AK55" s="431"/>
      <c r="AL55" s="421"/>
      <c r="AM55" s="419"/>
      <c r="AN55" s="388"/>
      <c r="AO55" s="404"/>
      <c r="AP55" s="431"/>
      <c r="AQ55" s="421"/>
      <c r="AR55" s="419"/>
      <c r="AS55" s="388"/>
      <c r="AT55" s="404"/>
      <c r="AU55" s="431"/>
      <c r="AV55" s="421"/>
      <c r="AW55" s="419"/>
      <c r="AX55" s="388"/>
      <c r="AY55" s="404"/>
      <c r="AZ55" s="431"/>
      <c r="BA55" s="421"/>
      <c r="BB55" s="419"/>
      <c r="BC55" s="388"/>
      <c r="BD55" s="404"/>
      <c r="BE55" s="431"/>
      <c r="BF55" s="421"/>
      <c r="BG55" s="419"/>
      <c r="BH55" s="388"/>
      <c r="BI55" s="404"/>
      <c r="BJ55" s="431"/>
      <c r="BK55" s="421"/>
      <c r="BL55" s="419"/>
      <c r="BM55" s="388"/>
      <c r="BN55" s="404"/>
      <c r="BO55" s="431"/>
      <c r="BP55" s="421"/>
      <c r="BQ55" s="419"/>
      <c r="BR55" s="388"/>
      <c r="BS55" s="404"/>
      <c r="BT55" s="431"/>
      <c r="BU55" s="421"/>
      <c r="BV55" s="419"/>
      <c r="BW55" s="388"/>
      <c r="BX55" s="404"/>
      <c r="BY55" s="431"/>
      <c r="BZ55" s="421"/>
      <c r="CA55" s="419"/>
      <c r="CB55" s="388"/>
      <c r="CC55" s="404"/>
      <c r="CD55" s="431"/>
      <c r="CE55" s="421"/>
      <c r="CF55" s="419"/>
      <c r="CG55" s="388"/>
      <c r="CH55" s="404"/>
      <c r="CI55" s="431"/>
      <c r="CJ55" s="421"/>
      <c r="CK55" s="419"/>
      <c r="CL55" s="388"/>
      <c r="CM55" s="404"/>
      <c r="CN55" s="431"/>
      <c r="CO55" s="421"/>
      <c r="CP55" s="419"/>
      <c r="CQ55" s="388"/>
      <c r="CR55" s="404"/>
      <c r="CS55" s="431"/>
      <c r="CT55" s="421"/>
      <c r="CU55" s="419"/>
      <c r="CV55" s="388"/>
      <c r="CW55" s="404"/>
      <c r="CX55" s="431"/>
      <c r="CY55" s="421"/>
      <c r="CZ55" s="419"/>
      <c r="DA55" s="388"/>
      <c r="DB55" s="404"/>
      <c r="DC55" s="431"/>
      <c r="DD55" s="421"/>
      <c r="DE55" s="419"/>
      <c r="DF55" s="388"/>
      <c r="DG55" s="398"/>
      <c r="DJ55" s="411"/>
      <c r="DK55" s="411" t="e">
        <f>#REF!-#REF!</f>
        <v>#REF!</v>
      </c>
    </row>
    <row r="56" spans="1:115" ht="13.95" hidden="1" customHeight="1" x14ac:dyDescent="0.3">
      <c r="A56" s="388"/>
      <c r="B56" s="388"/>
      <c r="C56" s="238" t="s">
        <v>350</v>
      </c>
      <c r="D56" s="388"/>
      <c r="E56" s="403"/>
      <c r="F56" s="431"/>
      <c r="G56" s="431"/>
      <c r="H56" s="421">
        <f>-[39]foreigndebt!G156</f>
        <v>0</v>
      </c>
      <c r="I56" s="419"/>
      <c r="J56" s="388"/>
      <c r="K56" s="404"/>
      <c r="L56" s="431"/>
      <c r="M56" s="421">
        <f>-[39]foreigndebt!L156</f>
        <v>0</v>
      </c>
      <c r="N56" s="419"/>
      <c r="O56" s="388"/>
      <c r="P56" s="404"/>
      <c r="Q56" s="431"/>
      <c r="R56" s="421">
        <f>-[39]foreigndebt!Q156</f>
        <v>0</v>
      </c>
      <c r="S56" s="419"/>
      <c r="T56" s="388"/>
      <c r="U56" s="404"/>
      <c r="V56" s="431"/>
      <c r="W56" s="421">
        <f>-[39]foreigndebt!V156</f>
        <v>0</v>
      </c>
      <c r="X56" s="419"/>
      <c r="Y56" s="388"/>
      <c r="Z56" s="404"/>
      <c r="AA56" s="431"/>
      <c r="AB56" s="421">
        <f>-[39]foreigndebt!AA156</f>
        <v>0</v>
      </c>
      <c r="AC56" s="419"/>
      <c r="AD56" s="388"/>
      <c r="AE56" s="404"/>
      <c r="AF56" s="431"/>
      <c r="AG56" s="421">
        <f>-[39]foreigndebt!AF156</f>
        <v>0</v>
      </c>
      <c r="AH56" s="419"/>
      <c r="AI56" s="388"/>
      <c r="AJ56" s="404"/>
      <c r="AK56" s="431"/>
      <c r="AL56" s="421">
        <f>-[39]foreigndebt!AK156</f>
        <v>0</v>
      </c>
      <c r="AM56" s="419"/>
      <c r="AN56" s="388"/>
      <c r="AO56" s="404"/>
      <c r="AP56" s="431"/>
      <c r="AQ56" s="421">
        <f>-[39]foreigndebt!AP156</f>
        <v>0</v>
      </c>
      <c r="AR56" s="419"/>
      <c r="AS56" s="388"/>
      <c r="AT56" s="404"/>
      <c r="AU56" s="431"/>
      <c r="AV56" s="421">
        <f>-[39]foreigndebt!AU156</f>
        <v>0</v>
      </c>
      <c r="AW56" s="419"/>
      <c r="AX56" s="388"/>
      <c r="AY56" s="404"/>
      <c r="AZ56" s="431"/>
      <c r="BA56" s="421">
        <f>-[39]foreigndebt!AZ156</f>
        <v>0</v>
      </c>
      <c r="BB56" s="419"/>
      <c r="BC56" s="388"/>
      <c r="BD56" s="404"/>
      <c r="BE56" s="431"/>
      <c r="BF56" s="421">
        <f>-[39]foreigndebt!BE156</f>
        <v>0</v>
      </c>
      <c r="BG56" s="419"/>
      <c r="BH56" s="388"/>
      <c r="BI56" s="404"/>
      <c r="BJ56" s="431"/>
      <c r="BK56" s="421">
        <f>-[39]foreigndebt!BJ156</f>
        <v>0</v>
      </c>
      <c r="BL56" s="419"/>
      <c r="BM56" s="388"/>
      <c r="BN56" s="404"/>
      <c r="BO56" s="431"/>
      <c r="BP56" s="421">
        <f>-[39]foreigndebt!BO156</f>
        <v>0</v>
      </c>
      <c r="BQ56" s="419"/>
      <c r="BR56" s="388"/>
      <c r="BS56" s="404"/>
      <c r="BT56" s="431"/>
      <c r="BU56" s="421">
        <f>-[39]foreigndebt!BT156</f>
        <v>0</v>
      </c>
      <c r="BV56" s="419"/>
      <c r="BW56" s="388"/>
      <c r="BX56" s="404"/>
      <c r="BY56" s="431"/>
      <c r="BZ56" s="421">
        <f>-[39]foreigndebt!CX156</f>
        <v>0</v>
      </c>
      <c r="CA56" s="419"/>
      <c r="CB56" s="388"/>
      <c r="CC56" s="404"/>
      <c r="CD56" s="431"/>
      <c r="CE56" s="421">
        <f>-[39]foreigndebt!DC156</f>
        <v>0</v>
      </c>
      <c r="CF56" s="419"/>
      <c r="CG56" s="388"/>
      <c r="CH56" s="404"/>
      <c r="CI56" s="431"/>
      <c r="CJ56" s="421">
        <f>-[39]foreigndebt!DH156</f>
        <v>0</v>
      </c>
      <c r="CK56" s="419"/>
      <c r="CL56" s="388"/>
      <c r="CM56" s="404"/>
      <c r="CN56" s="431"/>
      <c r="CO56" s="421">
        <f>-[39]foreigndebt!DM156</f>
        <v>0</v>
      </c>
      <c r="CP56" s="419"/>
      <c r="CQ56" s="388"/>
      <c r="CR56" s="404"/>
      <c r="CS56" s="431"/>
      <c r="CT56" s="421">
        <f>-[39]foreigndebt!DR156</f>
        <v>0</v>
      </c>
      <c r="CU56" s="419"/>
      <c r="CV56" s="388"/>
      <c r="CW56" s="404"/>
      <c r="CX56" s="431"/>
      <c r="CY56" s="421">
        <f>-[39]foreigndebt!DW156</f>
        <v>0</v>
      </c>
      <c r="CZ56" s="419"/>
      <c r="DA56" s="388"/>
      <c r="DB56" s="404"/>
      <c r="DC56" s="431"/>
      <c r="DD56" s="421">
        <f>-[39]foreigndebt!EB156</f>
        <v>0</v>
      </c>
      <c r="DE56" s="419"/>
      <c r="DF56" s="388"/>
      <c r="DG56" s="398"/>
      <c r="DJ56" s="411"/>
      <c r="DK56" s="411" t="e">
        <f>#REF!-#REF!</f>
        <v>#REF!</v>
      </c>
    </row>
    <row r="57" spans="1:115" ht="13.95" hidden="1" customHeight="1" x14ac:dyDescent="0.3">
      <c r="A57" s="388"/>
      <c r="B57" s="388"/>
      <c r="C57" s="238" t="s">
        <v>351</v>
      </c>
      <c r="D57" s="388"/>
      <c r="E57" s="403"/>
      <c r="F57" s="431"/>
      <c r="G57" s="431"/>
      <c r="H57" s="424">
        <f>-[39]foreigndebt!G157</f>
        <v>0</v>
      </c>
      <c r="I57" s="419"/>
      <c r="J57" s="388"/>
      <c r="K57" s="404"/>
      <c r="L57" s="431"/>
      <c r="M57" s="424">
        <f>-[39]foreigndebt!L157</f>
        <v>0</v>
      </c>
      <c r="N57" s="419"/>
      <c r="O57" s="388"/>
      <c r="P57" s="404"/>
      <c r="Q57" s="431"/>
      <c r="R57" s="424">
        <f>-[39]foreigndebt!Q157</f>
        <v>0</v>
      </c>
      <c r="S57" s="419"/>
      <c r="T57" s="388"/>
      <c r="U57" s="404"/>
      <c r="V57" s="431"/>
      <c r="W57" s="424">
        <f>-[39]foreigndebt!V157</f>
        <v>0</v>
      </c>
      <c r="X57" s="419"/>
      <c r="Y57" s="388"/>
      <c r="Z57" s="404"/>
      <c r="AA57" s="431"/>
      <c r="AB57" s="424">
        <f>-[39]foreigndebt!AA157</f>
        <v>0</v>
      </c>
      <c r="AC57" s="419"/>
      <c r="AD57" s="388"/>
      <c r="AE57" s="404"/>
      <c r="AF57" s="431"/>
      <c r="AG57" s="424">
        <f>-[39]foreigndebt!AF157</f>
        <v>0</v>
      </c>
      <c r="AH57" s="419"/>
      <c r="AI57" s="388"/>
      <c r="AJ57" s="404"/>
      <c r="AK57" s="431"/>
      <c r="AL57" s="424">
        <f>-[39]foreigndebt!AK157</f>
        <v>0</v>
      </c>
      <c r="AM57" s="419"/>
      <c r="AN57" s="388"/>
      <c r="AO57" s="404"/>
      <c r="AP57" s="431"/>
      <c r="AQ57" s="424">
        <f>-[39]foreigndebt!AP157</f>
        <v>0</v>
      </c>
      <c r="AR57" s="419"/>
      <c r="AS57" s="388"/>
      <c r="AT57" s="404"/>
      <c r="AU57" s="431"/>
      <c r="AV57" s="424">
        <f>-[39]foreigndebt!AU157</f>
        <v>0</v>
      </c>
      <c r="AW57" s="419"/>
      <c r="AX57" s="388"/>
      <c r="AY57" s="404"/>
      <c r="AZ57" s="431"/>
      <c r="BA57" s="424">
        <f>-[39]foreigndebt!AZ157</f>
        <v>0</v>
      </c>
      <c r="BB57" s="419"/>
      <c r="BC57" s="388"/>
      <c r="BD57" s="404"/>
      <c r="BE57" s="431"/>
      <c r="BF57" s="424">
        <f>-[39]foreigndebt!BE157</f>
        <v>0</v>
      </c>
      <c r="BG57" s="419"/>
      <c r="BH57" s="388"/>
      <c r="BI57" s="404"/>
      <c r="BJ57" s="431"/>
      <c r="BK57" s="424">
        <f>-[39]foreigndebt!BJ157</f>
        <v>0</v>
      </c>
      <c r="BL57" s="419"/>
      <c r="BM57" s="388"/>
      <c r="BN57" s="404"/>
      <c r="BO57" s="431"/>
      <c r="BP57" s="424">
        <f>-[39]foreigndebt!BO157</f>
        <v>0</v>
      </c>
      <c r="BQ57" s="419"/>
      <c r="BR57" s="388"/>
      <c r="BS57" s="404"/>
      <c r="BT57" s="431"/>
      <c r="BU57" s="424">
        <f>-[39]foreigndebt!BT157</f>
        <v>0</v>
      </c>
      <c r="BV57" s="419"/>
      <c r="BW57" s="388"/>
      <c r="BX57" s="404"/>
      <c r="BY57" s="431"/>
      <c r="BZ57" s="424">
        <f>-[39]foreigndebt!CX157</f>
        <v>0</v>
      </c>
      <c r="CA57" s="419"/>
      <c r="CB57" s="388"/>
      <c r="CC57" s="404"/>
      <c r="CD57" s="431"/>
      <c r="CE57" s="424">
        <f>-[39]foreigndebt!DC157</f>
        <v>0</v>
      </c>
      <c r="CF57" s="419"/>
      <c r="CG57" s="388"/>
      <c r="CH57" s="404"/>
      <c r="CI57" s="431"/>
      <c r="CJ57" s="424">
        <f>-[39]foreigndebt!DH157</f>
        <v>0</v>
      </c>
      <c r="CK57" s="419"/>
      <c r="CL57" s="388"/>
      <c r="CM57" s="404"/>
      <c r="CN57" s="431"/>
      <c r="CO57" s="424">
        <f>-[39]foreigndebt!DM157</f>
        <v>0</v>
      </c>
      <c r="CP57" s="419"/>
      <c r="CQ57" s="388"/>
      <c r="CR57" s="404"/>
      <c r="CS57" s="431"/>
      <c r="CT57" s="424">
        <f>-[39]foreigndebt!DR157</f>
        <v>0</v>
      </c>
      <c r="CU57" s="419"/>
      <c r="CV57" s="388"/>
      <c r="CW57" s="404"/>
      <c r="CX57" s="431"/>
      <c r="CY57" s="424">
        <f>-[39]foreigndebt!DW157</f>
        <v>0</v>
      </c>
      <c r="CZ57" s="419"/>
      <c r="DA57" s="388"/>
      <c r="DB57" s="404"/>
      <c r="DC57" s="431"/>
      <c r="DD57" s="424">
        <f>-[39]foreigndebt!EB157</f>
        <v>0</v>
      </c>
      <c r="DE57" s="419"/>
      <c r="DF57" s="388"/>
      <c r="DG57" s="398"/>
      <c r="DJ57" s="411"/>
      <c r="DK57" s="411" t="e">
        <f>#REF!-#REF!</f>
        <v>#REF!</v>
      </c>
    </row>
    <row r="58" spans="1:115" ht="13.95" hidden="1" customHeight="1" x14ac:dyDescent="0.3">
      <c r="A58" s="388"/>
      <c r="B58" s="388"/>
      <c r="C58" s="398"/>
      <c r="D58" s="388"/>
      <c r="E58" s="403"/>
      <c r="F58" s="431"/>
      <c r="G58" s="431"/>
      <c r="H58" s="388"/>
      <c r="I58" s="419"/>
      <c r="J58" s="388"/>
      <c r="K58" s="404"/>
      <c r="L58" s="431"/>
      <c r="M58" s="388"/>
      <c r="N58" s="419"/>
      <c r="O58" s="388"/>
      <c r="P58" s="404"/>
      <c r="Q58" s="431"/>
      <c r="R58" s="388"/>
      <c r="S58" s="419"/>
      <c r="T58" s="388"/>
      <c r="U58" s="404"/>
      <c r="V58" s="431"/>
      <c r="W58" s="388"/>
      <c r="X58" s="419"/>
      <c r="Y58" s="388"/>
      <c r="Z58" s="404"/>
      <c r="AA58" s="431"/>
      <c r="AB58" s="388"/>
      <c r="AC58" s="419"/>
      <c r="AD58" s="388"/>
      <c r="AE58" s="404"/>
      <c r="AF58" s="431"/>
      <c r="AG58" s="388"/>
      <c r="AH58" s="419"/>
      <c r="AI58" s="388"/>
      <c r="AJ58" s="404"/>
      <c r="AK58" s="431"/>
      <c r="AL58" s="388"/>
      <c r="AM58" s="419"/>
      <c r="AN58" s="388"/>
      <c r="AO58" s="404"/>
      <c r="AP58" s="431"/>
      <c r="AQ58" s="388"/>
      <c r="AR58" s="419"/>
      <c r="AS58" s="388"/>
      <c r="AT58" s="404"/>
      <c r="AU58" s="431"/>
      <c r="AV58" s="388"/>
      <c r="AW58" s="419"/>
      <c r="AX58" s="388"/>
      <c r="AY58" s="404"/>
      <c r="AZ58" s="431"/>
      <c r="BA58" s="388"/>
      <c r="BB58" s="419"/>
      <c r="BC58" s="388"/>
      <c r="BD58" s="404"/>
      <c r="BE58" s="431"/>
      <c r="BF58" s="388"/>
      <c r="BG58" s="419"/>
      <c r="BH58" s="388"/>
      <c r="BI58" s="404"/>
      <c r="BJ58" s="431"/>
      <c r="BK58" s="388"/>
      <c r="BL58" s="419"/>
      <c r="BM58" s="388"/>
      <c r="BN58" s="404"/>
      <c r="BO58" s="431"/>
      <c r="BP58" s="388"/>
      <c r="BQ58" s="419"/>
      <c r="BR58" s="388"/>
      <c r="BS58" s="404"/>
      <c r="BT58" s="431"/>
      <c r="BU58" s="388"/>
      <c r="BV58" s="419"/>
      <c r="BW58" s="388"/>
      <c r="BX58" s="404"/>
      <c r="BY58" s="431"/>
      <c r="BZ58" s="388"/>
      <c r="CA58" s="419"/>
      <c r="CB58" s="388"/>
      <c r="CC58" s="404"/>
      <c r="CD58" s="431"/>
      <c r="CE58" s="388"/>
      <c r="CF58" s="419"/>
      <c r="CG58" s="388"/>
      <c r="CH58" s="404"/>
      <c r="CI58" s="431"/>
      <c r="CJ58" s="388"/>
      <c r="CK58" s="419"/>
      <c r="CL58" s="388"/>
      <c r="CM58" s="404"/>
      <c r="CN58" s="431"/>
      <c r="CO58" s="388"/>
      <c r="CP58" s="419"/>
      <c r="CQ58" s="388"/>
      <c r="CR58" s="404"/>
      <c r="CS58" s="431"/>
      <c r="CT58" s="388"/>
      <c r="CU58" s="419"/>
      <c r="CV58" s="388"/>
      <c r="CW58" s="404"/>
      <c r="CX58" s="431"/>
      <c r="CY58" s="388"/>
      <c r="CZ58" s="419"/>
      <c r="DA58" s="388"/>
      <c r="DB58" s="404"/>
      <c r="DC58" s="431"/>
      <c r="DD58" s="388"/>
      <c r="DE58" s="419"/>
      <c r="DF58" s="388"/>
      <c r="DG58" s="398"/>
      <c r="DJ58" s="411"/>
      <c r="DK58" s="411" t="e">
        <f>#REF!-#REF!</f>
        <v>#REF!</v>
      </c>
    </row>
    <row r="59" spans="1:115" ht="12.75" hidden="1" customHeight="1" x14ac:dyDescent="0.3">
      <c r="A59" s="388"/>
      <c r="B59" s="388"/>
      <c r="C59" s="398" t="s">
        <v>352</v>
      </c>
      <c r="D59" s="388"/>
      <c r="E59" s="403"/>
      <c r="F59" s="431"/>
      <c r="G59" s="431"/>
      <c r="H59" s="388">
        <v>0</v>
      </c>
      <c r="I59" s="419"/>
      <c r="J59" s="388"/>
      <c r="K59" s="404"/>
      <c r="L59" s="431"/>
      <c r="M59" s="388">
        <f>SUM(M60:M64)</f>
        <v>0</v>
      </c>
      <c r="N59" s="419"/>
      <c r="O59" s="388"/>
      <c r="P59" s="404"/>
      <c r="Q59" s="431"/>
      <c r="R59" s="388">
        <f>SUM(R60:R64)</f>
        <v>0</v>
      </c>
      <c r="S59" s="419"/>
      <c r="T59" s="388"/>
      <c r="U59" s="404"/>
      <c r="V59" s="431"/>
      <c r="W59" s="388">
        <f>SUM(W60:W64)</f>
        <v>0</v>
      </c>
      <c r="X59" s="419"/>
      <c r="Y59" s="388"/>
      <c r="Z59" s="404"/>
      <c r="AA59" s="431"/>
      <c r="AB59" s="388">
        <f>SUM(AB60:AB64)</f>
        <v>0</v>
      </c>
      <c r="AC59" s="419"/>
      <c r="AD59" s="388"/>
      <c r="AE59" s="404"/>
      <c r="AF59" s="431"/>
      <c r="AG59" s="388">
        <f>SUM(AG60:AG64)</f>
        <v>0</v>
      </c>
      <c r="AH59" s="419"/>
      <c r="AI59" s="388"/>
      <c r="AJ59" s="404"/>
      <c r="AK59" s="431"/>
      <c r="AL59" s="388">
        <f>SUM(AL60:AL64)</f>
        <v>0</v>
      </c>
      <c r="AM59" s="419"/>
      <c r="AN59" s="388"/>
      <c r="AO59" s="404"/>
      <c r="AP59" s="431"/>
      <c r="AQ59" s="388">
        <f>SUM(AQ60:AQ64)</f>
        <v>0</v>
      </c>
      <c r="AR59" s="419"/>
      <c r="AS59" s="388"/>
      <c r="AT59" s="404"/>
      <c r="AU59" s="431"/>
      <c r="AV59" s="388">
        <f>SUM(AV60:AV64)</f>
        <v>0</v>
      </c>
      <c r="AW59" s="419"/>
      <c r="AX59" s="388"/>
      <c r="AY59" s="404"/>
      <c r="AZ59" s="431"/>
      <c r="BA59" s="388">
        <f>SUM(BA60:BA64)</f>
        <v>0</v>
      </c>
      <c r="BB59" s="419"/>
      <c r="BC59" s="388"/>
      <c r="BD59" s="404"/>
      <c r="BE59" s="431"/>
      <c r="BF59" s="388">
        <f>SUM(BF60:BF64)</f>
        <v>0</v>
      </c>
      <c r="BG59" s="419"/>
      <c r="BH59" s="388"/>
      <c r="BI59" s="404"/>
      <c r="BJ59" s="431"/>
      <c r="BK59" s="388">
        <f>SUM(BK60:BK64)</f>
        <v>0</v>
      </c>
      <c r="BL59" s="419"/>
      <c r="BM59" s="388"/>
      <c r="BN59" s="404"/>
      <c r="BO59" s="431"/>
      <c r="BP59" s="388">
        <f>SUM(BP60:BP64)</f>
        <v>0</v>
      </c>
      <c r="BQ59" s="419"/>
      <c r="BR59" s="388"/>
      <c r="BS59" s="404"/>
      <c r="BT59" s="431"/>
      <c r="BU59" s="388">
        <f>SUM(BU60:BU64)</f>
        <v>0</v>
      </c>
      <c r="BV59" s="419"/>
      <c r="BW59" s="388"/>
      <c r="BX59" s="404"/>
      <c r="BY59" s="431"/>
      <c r="BZ59" s="388">
        <f>SUM(BZ60:BZ64)</f>
        <v>0</v>
      </c>
      <c r="CA59" s="419"/>
      <c r="CB59" s="388"/>
      <c r="CC59" s="404"/>
      <c r="CD59" s="431"/>
      <c r="CE59" s="388">
        <f>SUM(CE60:CE64)</f>
        <v>0</v>
      </c>
      <c r="CF59" s="419"/>
      <c r="CG59" s="388"/>
      <c r="CH59" s="404"/>
      <c r="CI59" s="431"/>
      <c r="CJ59" s="388">
        <f>SUM(CJ60:CJ64)</f>
        <v>0</v>
      </c>
      <c r="CK59" s="419"/>
      <c r="CL59" s="388"/>
      <c r="CM59" s="404"/>
      <c r="CN59" s="431"/>
      <c r="CO59" s="388">
        <f>SUM(CO60:CO64)</f>
        <v>0</v>
      </c>
      <c r="CP59" s="419"/>
      <c r="CQ59" s="388"/>
      <c r="CR59" s="404"/>
      <c r="CS59" s="431"/>
      <c r="CT59" s="388">
        <f>SUM(CT60:CT64)</f>
        <v>0</v>
      </c>
      <c r="CU59" s="419"/>
      <c r="CV59" s="388"/>
      <c r="CW59" s="404"/>
      <c r="CX59" s="431"/>
      <c r="CY59" s="388">
        <f>SUM(CY60:CY64)</f>
        <v>0</v>
      </c>
      <c r="CZ59" s="419"/>
      <c r="DA59" s="388"/>
      <c r="DB59" s="404"/>
      <c r="DC59" s="431"/>
      <c r="DD59" s="388">
        <f>SUM(DD60:DD64)</f>
        <v>0</v>
      </c>
      <c r="DE59" s="419"/>
      <c r="DF59" s="388"/>
      <c r="DG59" s="398"/>
      <c r="DJ59" s="411"/>
      <c r="DK59" s="411" t="e">
        <f>#REF!-#REF!</f>
        <v>#REF!</v>
      </c>
    </row>
    <row r="60" spans="1:115" ht="13.95" hidden="1" customHeight="1" x14ac:dyDescent="0.3">
      <c r="A60" s="388"/>
      <c r="B60" s="388"/>
      <c r="C60" s="398" t="s">
        <v>331</v>
      </c>
      <c r="D60" s="388"/>
      <c r="E60" s="403"/>
      <c r="F60" s="431"/>
      <c r="G60" s="431"/>
      <c r="H60" s="420">
        <v>0</v>
      </c>
      <c r="I60" s="419"/>
      <c r="J60" s="388"/>
      <c r="K60" s="404"/>
      <c r="L60" s="431"/>
      <c r="M60" s="420">
        <f>[39]foreigndebt!L72</f>
        <v>0</v>
      </c>
      <c r="N60" s="419"/>
      <c r="O60" s="388"/>
      <c r="P60" s="404"/>
      <c r="Q60" s="431"/>
      <c r="R60" s="420">
        <f>[39]foreigndebt!Q72</f>
        <v>0</v>
      </c>
      <c r="S60" s="419"/>
      <c r="T60" s="388"/>
      <c r="U60" s="404"/>
      <c r="V60" s="431"/>
      <c r="W60" s="420">
        <f>[39]foreigndebt!V72</f>
        <v>0</v>
      </c>
      <c r="X60" s="419"/>
      <c r="Y60" s="388"/>
      <c r="Z60" s="404"/>
      <c r="AA60" s="431"/>
      <c r="AB60" s="420">
        <f>[39]foreigndebt!AA72</f>
        <v>0</v>
      </c>
      <c r="AC60" s="419"/>
      <c r="AD60" s="388"/>
      <c r="AE60" s="404"/>
      <c r="AF60" s="431"/>
      <c r="AG60" s="420">
        <f>[39]foreigndebt!AF72</f>
        <v>0</v>
      </c>
      <c r="AH60" s="419"/>
      <c r="AI60" s="388"/>
      <c r="AJ60" s="404"/>
      <c r="AK60" s="431"/>
      <c r="AL60" s="420">
        <f>[39]foreigndebt!AK72</f>
        <v>0</v>
      </c>
      <c r="AM60" s="419"/>
      <c r="AN60" s="388"/>
      <c r="AO60" s="404"/>
      <c r="AP60" s="431"/>
      <c r="AQ60" s="420">
        <f>[39]foreigndebt!AP72</f>
        <v>0</v>
      </c>
      <c r="AR60" s="419"/>
      <c r="AS60" s="388"/>
      <c r="AT60" s="404"/>
      <c r="AU60" s="431"/>
      <c r="AV60" s="420">
        <f>[39]foreigndebt!AU72</f>
        <v>0</v>
      </c>
      <c r="AW60" s="419"/>
      <c r="AX60" s="388"/>
      <c r="AY60" s="404"/>
      <c r="AZ60" s="431"/>
      <c r="BA60" s="420">
        <f>[39]foreigndebt!AZ72</f>
        <v>0</v>
      </c>
      <c r="BB60" s="419"/>
      <c r="BC60" s="388"/>
      <c r="BD60" s="404"/>
      <c r="BE60" s="431"/>
      <c r="BF60" s="420">
        <f>[39]foreigndebt!BE72</f>
        <v>0</v>
      </c>
      <c r="BG60" s="419"/>
      <c r="BH60" s="388"/>
      <c r="BI60" s="404"/>
      <c r="BJ60" s="431"/>
      <c r="BK60" s="420">
        <f>[39]foreigndebt!BJ72</f>
        <v>0</v>
      </c>
      <c r="BL60" s="419"/>
      <c r="BM60" s="388"/>
      <c r="BN60" s="404"/>
      <c r="BO60" s="431"/>
      <c r="BP60" s="420">
        <f>[39]foreigndebt!BO72</f>
        <v>0</v>
      </c>
      <c r="BQ60" s="419"/>
      <c r="BR60" s="388"/>
      <c r="BS60" s="404"/>
      <c r="BT60" s="431"/>
      <c r="BU60" s="420">
        <f>[39]foreigndebt!BT72</f>
        <v>0</v>
      </c>
      <c r="BV60" s="419"/>
      <c r="BW60" s="388"/>
      <c r="BX60" s="404"/>
      <c r="BY60" s="431"/>
      <c r="BZ60" s="420">
        <f>[39]foreigndebt!CX72</f>
        <v>0</v>
      </c>
      <c r="CA60" s="419"/>
      <c r="CB60" s="388"/>
      <c r="CC60" s="404"/>
      <c r="CD60" s="431"/>
      <c r="CE60" s="420">
        <f>[39]foreigndebt!DC72</f>
        <v>0</v>
      </c>
      <c r="CF60" s="419"/>
      <c r="CG60" s="388"/>
      <c r="CH60" s="404"/>
      <c r="CI60" s="431"/>
      <c r="CJ60" s="420">
        <f>[39]foreigndebt!DH72</f>
        <v>0</v>
      </c>
      <c r="CK60" s="419"/>
      <c r="CL60" s="388"/>
      <c r="CM60" s="404"/>
      <c r="CN60" s="431"/>
      <c r="CO60" s="420">
        <f>[39]foreigndebt!DM72</f>
        <v>0</v>
      </c>
      <c r="CP60" s="419"/>
      <c r="CQ60" s="388"/>
      <c r="CR60" s="404"/>
      <c r="CS60" s="431"/>
      <c r="CT60" s="420">
        <f>[39]foreigndebt!DR72</f>
        <v>0</v>
      </c>
      <c r="CU60" s="419"/>
      <c r="CV60" s="388"/>
      <c r="CW60" s="404"/>
      <c r="CX60" s="431"/>
      <c r="CY60" s="420">
        <f>[39]foreigndebt!DW72</f>
        <v>0</v>
      </c>
      <c r="CZ60" s="419"/>
      <c r="DA60" s="388"/>
      <c r="DB60" s="404"/>
      <c r="DC60" s="431"/>
      <c r="DD60" s="420">
        <f>[39]foreigndebt!EB72</f>
        <v>0</v>
      </c>
      <c r="DE60" s="419"/>
      <c r="DF60" s="388"/>
      <c r="DG60" s="398"/>
      <c r="DJ60" s="411"/>
      <c r="DK60" s="411" t="e">
        <f>#REF!-#REF!</f>
        <v>#REF!</v>
      </c>
    </row>
    <row r="61" spans="1:115" ht="13.95" hidden="1" customHeight="1" x14ac:dyDescent="0.3">
      <c r="A61" s="388"/>
      <c r="B61" s="388"/>
      <c r="C61" s="398" t="s">
        <v>333</v>
      </c>
      <c r="D61" s="388"/>
      <c r="E61" s="403"/>
      <c r="F61" s="431"/>
      <c r="G61" s="431"/>
      <c r="H61" s="421">
        <v>0</v>
      </c>
      <c r="I61" s="419"/>
      <c r="J61" s="388"/>
      <c r="K61" s="404"/>
      <c r="L61" s="431"/>
      <c r="M61" s="421">
        <f>-[39]foreigndebt!L74</f>
        <v>0</v>
      </c>
      <c r="N61" s="419"/>
      <c r="O61" s="388"/>
      <c r="P61" s="404"/>
      <c r="Q61" s="431"/>
      <c r="R61" s="421">
        <f>-[39]foreigndebt!Q74</f>
        <v>0</v>
      </c>
      <c r="S61" s="419"/>
      <c r="T61" s="388"/>
      <c r="U61" s="404"/>
      <c r="V61" s="431"/>
      <c r="W61" s="421">
        <f>-[39]foreigndebt!V74</f>
        <v>0</v>
      </c>
      <c r="X61" s="419"/>
      <c r="Y61" s="388"/>
      <c r="Z61" s="404"/>
      <c r="AA61" s="431"/>
      <c r="AB61" s="421">
        <f>-[39]foreigndebt!AA74</f>
        <v>0</v>
      </c>
      <c r="AC61" s="419"/>
      <c r="AD61" s="388"/>
      <c r="AE61" s="404"/>
      <c r="AF61" s="431"/>
      <c r="AG61" s="421">
        <f>-[39]foreigndebt!AF74</f>
        <v>0</v>
      </c>
      <c r="AH61" s="419"/>
      <c r="AI61" s="388"/>
      <c r="AJ61" s="404"/>
      <c r="AK61" s="431"/>
      <c r="AL61" s="421">
        <f>-[39]foreigndebt!AK74</f>
        <v>0</v>
      </c>
      <c r="AM61" s="419"/>
      <c r="AN61" s="388"/>
      <c r="AO61" s="404"/>
      <c r="AP61" s="431"/>
      <c r="AQ61" s="421">
        <f>-[39]foreigndebt!AP74</f>
        <v>0</v>
      </c>
      <c r="AR61" s="419"/>
      <c r="AS61" s="388"/>
      <c r="AT61" s="404"/>
      <c r="AU61" s="431"/>
      <c r="AV61" s="421">
        <f>-[39]foreigndebt!AU74</f>
        <v>0</v>
      </c>
      <c r="AW61" s="419"/>
      <c r="AX61" s="388"/>
      <c r="AY61" s="404"/>
      <c r="AZ61" s="431"/>
      <c r="BA61" s="421">
        <f>-[39]foreigndebt!AZ74</f>
        <v>0</v>
      </c>
      <c r="BB61" s="419"/>
      <c r="BC61" s="388"/>
      <c r="BD61" s="404"/>
      <c r="BE61" s="431"/>
      <c r="BF61" s="421">
        <f>-[39]foreigndebt!BE74</f>
        <v>0</v>
      </c>
      <c r="BG61" s="419"/>
      <c r="BH61" s="388"/>
      <c r="BI61" s="404"/>
      <c r="BJ61" s="431"/>
      <c r="BK61" s="421">
        <f>-[39]foreigndebt!BJ74</f>
        <v>0</v>
      </c>
      <c r="BL61" s="419"/>
      <c r="BM61" s="388"/>
      <c r="BN61" s="404"/>
      <c r="BO61" s="431"/>
      <c r="BP61" s="421">
        <f>-[39]foreigndebt!BO74</f>
        <v>0</v>
      </c>
      <c r="BQ61" s="419"/>
      <c r="BR61" s="388"/>
      <c r="BS61" s="404"/>
      <c r="BT61" s="431"/>
      <c r="BU61" s="421">
        <f>-[39]foreigndebt!BT74</f>
        <v>0</v>
      </c>
      <c r="BV61" s="419"/>
      <c r="BW61" s="388"/>
      <c r="BX61" s="404"/>
      <c r="BY61" s="431"/>
      <c r="BZ61" s="421">
        <f>-[39]foreigndebt!CX74</f>
        <v>0</v>
      </c>
      <c r="CA61" s="419"/>
      <c r="CB61" s="388"/>
      <c r="CC61" s="404"/>
      <c r="CD61" s="431"/>
      <c r="CE61" s="421">
        <f>-[39]foreigndebt!DC74</f>
        <v>0</v>
      </c>
      <c r="CF61" s="419"/>
      <c r="CG61" s="388"/>
      <c r="CH61" s="404"/>
      <c r="CI61" s="431"/>
      <c r="CJ61" s="421">
        <f>-[39]foreigndebt!DH74</f>
        <v>0</v>
      </c>
      <c r="CK61" s="419"/>
      <c r="CL61" s="388"/>
      <c r="CM61" s="404"/>
      <c r="CN61" s="431"/>
      <c r="CO61" s="421">
        <f>-[39]foreigndebt!DM74</f>
        <v>0</v>
      </c>
      <c r="CP61" s="419"/>
      <c r="CQ61" s="388"/>
      <c r="CR61" s="404"/>
      <c r="CS61" s="431"/>
      <c r="CT61" s="421">
        <f>-[39]foreigndebt!DR74</f>
        <v>0</v>
      </c>
      <c r="CU61" s="419"/>
      <c r="CV61" s="388"/>
      <c r="CW61" s="404"/>
      <c r="CX61" s="431"/>
      <c r="CY61" s="421">
        <f>-[39]foreigndebt!DW74</f>
        <v>0</v>
      </c>
      <c r="CZ61" s="419"/>
      <c r="DA61" s="388"/>
      <c r="DB61" s="404"/>
      <c r="DC61" s="431"/>
      <c r="DD61" s="421">
        <f>-[39]foreigndebt!EB74</f>
        <v>0</v>
      </c>
      <c r="DE61" s="419"/>
      <c r="DF61" s="388"/>
      <c r="DG61" s="398"/>
      <c r="DJ61" s="411"/>
      <c r="DK61" s="411" t="e">
        <f>#REF!-#REF!</f>
        <v>#REF!</v>
      </c>
    </row>
    <row r="62" spans="1:115" ht="13.95" hidden="1" customHeight="1" x14ac:dyDescent="0.3">
      <c r="A62" s="388"/>
      <c r="B62" s="388"/>
      <c r="C62" s="398" t="s">
        <v>336</v>
      </c>
      <c r="D62" s="388"/>
      <c r="E62" s="403"/>
      <c r="F62" s="431"/>
      <c r="G62" s="431"/>
      <c r="H62" s="421"/>
      <c r="I62" s="419"/>
      <c r="J62" s="388"/>
      <c r="K62" s="404"/>
      <c r="L62" s="431"/>
      <c r="M62" s="421"/>
      <c r="N62" s="419"/>
      <c r="O62" s="388"/>
      <c r="P62" s="404"/>
      <c r="Q62" s="431"/>
      <c r="R62" s="421"/>
      <c r="S62" s="419"/>
      <c r="T62" s="388"/>
      <c r="U62" s="404"/>
      <c r="V62" s="431"/>
      <c r="W62" s="421"/>
      <c r="X62" s="419"/>
      <c r="Y62" s="388"/>
      <c r="Z62" s="404"/>
      <c r="AA62" s="431"/>
      <c r="AB62" s="421"/>
      <c r="AC62" s="419"/>
      <c r="AD62" s="388"/>
      <c r="AE62" s="404"/>
      <c r="AF62" s="431"/>
      <c r="AG62" s="421"/>
      <c r="AH62" s="419"/>
      <c r="AI62" s="388"/>
      <c r="AJ62" s="404"/>
      <c r="AK62" s="431"/>
      <c r="AL62" s="421"/>
      <c r="AM62" s="419"/>
      <c r="AN62" s="388"/>
      <c r="AO62" s="404"/>
      <c r="AP62" s="431"/>
      <c r="AQ62" s="421"/>
      <c r="AR62" s="419"/>
      <c r="AS62" s="388"/>
      <c r="AT62" s="404"/>
      <c r="AU62" s="431"/>
      <c r="AV62" s="421"/>
      <c r="AW62" s="419"/>
      <c r="AX62" s="388"/>
      <c r="AY62" s="404"/>
      <c r="AZ62" s="431"/>
      <c r="BA62" s="421"/>
      <c r="BB62" s="419"/>
      <c r="BC62" s="388"/>
      <c r="BD62" s="404"/>
      <c r="BE62" s="431"/>
      <c r="BF62" s="421"/>
      <c r="BG62" s="419"/>
      <c r="BH62" s="388"/>
      <c r="BI62" s="404"/>
      <c r="BJ62" s="431"/>
      <c r="BK62" s="421"/>
      <c r="BL62" s="419"/>
      <c r="BM62" s="388"/>
      <c r="BN62" s="404"/>
      <c r="BO62" s="431"/>
      <c r="BP62" s="421"/>
      <c r="BQ62" s="419"/>
      <c r="BR62" s="388"/>
      <c r="BS62" s="404"/>
      <c r="BT62" s="431"/>
      <c r="BU62" s="421"/>
      <c r="BV62" s="419"/>
      <c r="BW62" s="388"/>
      <c r="BX62" s="404"/>
      <c r="BY62" s="431"/>
      <c r="BZ62" s="421"/>
      <c r="CA62" s="419"/>
      <c r="CB62" s="388"/>
      <c r="CC62" s="404"/>
      <c r="CD62" s="431"/>
      <c r="CE62" s="421"/>
      <c r="CF62" s="419"/>
      <c r="CG62" s="388"/>
      <c r="CH62" s="404"/>
      <c r="CI62" s="431"/>
      <c r="CJ62" s="421"/>
      <c r="CK62" s="419"/>
      <c r="CL62" s="388"/>
      <c r="CM62" s="404"/>
      <c r="CN62" s="431"/>
      <c r="CO62" s="421"/>
      <c r="CP62" s="419"/>
      <c r="CQ62" s="388"/>
      <c r="CR62" s="404"/>
      <c r="CS62" s="431"/>
      <c r="CT62" s="421"/>
      <c r="CU62" s="419"/>
      <c r="CV62" s="388"/>
      <c r="CW62" s="404"/>
      <c r="CX62" s="431"/>
      <c r="CY62" s="421"/>
      <c r="CZ62" s="419"/>
      <c r="DA62" s="388"/>
      <c r="DB62" s="404"/>
      <c r="DC62" s="431"/>
      <c r="DD62" s="421"/>
      <c r="DE62" s="419"/>
      <c r="DF62" s="388"/>
      <c r="DG62" s="398"/>
      <c r="DJ62" s="411"/>
      <c r="DK62" s="411" t="e">
        <f>#REF!-#REF!</f>
        <v>#REF!</v>
      </c>
    </row>
    <row r="63" spans="1:115" ht="13.95" hidden="1" customHeight="1" x14ac:dyDescent="0.3">
      <c r="A63" s="388"/>
      <c r="B63" s="388"/>
      <c r="C63" s="238" t="s">
        <v>350</v>
      </c>
      <c r="D63" s="388"/>
      <c r="E63" s="403"/>
      <c r="F63" s="431"/>
      <c r="G63" s="431"/>
      <c r="H63" s="421">
        <v>0</v>
      </c>
      <c r="I63" s="419"/>
      <c r="J63" s="388"/>
      <c r="K63" s="404"/>
      <c r="L63" s="431"/>
      <c r="M63" s="421">
        <f>-[39]foreigndebt!L168</f>
        <v>0</v>
      </c>
      <c r="N63" s="419"/>
      <c r="O63" s="388"/>
      <c r="P63" s="404"/>
      <c r="Q63" s="431"/>
      <c r="R63" s="421">
        <f>-[39]foreigndebt!Q168</f>
        <v>0</v>
      </c>
      <c r="S63" s="419"/>
      <c r="T63" s="388"/>
      <c r="U63" s="404"/>
      <c r="V63" s="431"/>
      <c r="W63" s="421">
        <f>-[39]foreigndebt!V168</f>
        <v>0</v>
      </c>
      <c r="X63" s="419"/>
      <c r="Y63" s="388"/>
      <c r="Z63" s="404"/>
      <c r="AA63" s="431"/>
      <c r="AB63" s="421">
        <f>-[39]foreigndebt!AA168</f>
        <v>0</v>
      </c>
      <c r="AC63" s="419"/>
      <c r="AD63" s="388"/>
      <c r="AE63" s="404"/>
      <c r="AF63" s="431"/>
      <c r="AG63" s="421">
        <f>-[39]foreigndebt!AF168</f>
        <v>0</v>
      </c>
      <c r="AH63" s="419"/>
      <c r="AI63" s="388"/>
      <c r="AJ63" s="404"/>
      <c r="AK63" s="431"/>
      <c r="AL63" s="421">
        <f>-[39]foreigndebt!AK168</f>
        <v>0</v>
      </c>
      <c r="AM63" s="419"/>
      <c r="AN63" s="388"/>
      <c r="AO63" s="404"/>
      <c r="AP63" s="431"/>
      <c r="AQ63" s="421">
        <f>-[39]foreigndebt!AP168</f>
        <v>0</v>
      </c>
      <c r="AR63" s="419"/>
      <c r="AS63" s="388"/>
      <c r="AT63" s="404"/>
      <c r="AU63" s="431"/>
      <c r="AV63" s="421">
        <f>-[39]foreigndebt!AU168</f>
        <v>0</v>
      </c>
      <c r="AW63" s="419"/>
      <c r="AX63" s="388"/>
      <c r="AY63" s="404"/>
      <c r="AZ63" s="431"/>
      <c r="BA63" s="421">
        <f>-[39]foreigndebt!AZ168</f>
        <v>0</v>
      </c>
      <c r="BB63" s="419"/>
      <c r="BC63" s="388"/>
      <c r="BD63" s="404"/>
      <c r="BE63" s="431"/>
      <c r="BF63" s="421">
        <f>-[39]foreigndebt!BE168</f>
        <v>0</v>
      </c>
      <c r="BG63" s="419"/>
      <c r="BH63" s="388"/>
      <c r="BI63" s="404"/>
      <c r="BJ63" s="431"/>
      <c r="BK63" s="421">
        <f>-[39]foreigndebt!BJ168</f>
        <v>0</v>
      </c>
      <c r="BL63" s="419"/>
      <c r="BM63" s="388"/>
      <c r="BN63" s="404"/>
      <c r="BO63" s="431"/>
      <c r="BP63" s="421">
        <f>-[39]foreigndebt!BO168</f>
        <v>0</v>
      </c>
      <c r="BQ63" s="419"/>
      <c r="BR63" s="388"/>
      <c r="BS63" s="404"/>
      <c r="BT63" s="431"/>
      <c r="BU63" s="421">
        <f>-[39]foreigndebt!BT168</f>
        <v>0</v>
      </c>
      <c r="BV63" s="419"/>
      <c r="BW63" s="388"/>
      <c r="BX63" s="404"/>
      <c r="BY63" s="431"/>
      <c r="BZ63" s="421">
        <f>-[39]foreigndebt!CX168</f>
        <v>0</v>
      </c>
      <c r="CA63" s="419"/>
      <c r="CB63" s="388"/>
      <c r="CC63" s="404"/>
      <c r="CD63" s="431"/>
      <c r="CE63" s="421">
        <f>-[39]foreigndebt!DC168</f>
        <v>0</v>
      </c>
      <c r="CF63" s="419"/>
      <c r="CG63" s="388"/>
      <c r="CH63" s="404"/>
      <c r="CI63" s="431"/>
      <c r="CJ63" s="421">
        <f>-[39]foreigndebt!DH168</f>
        <v>0</v>
      </c>
      <c r="CK63" s="419"/>
      <c r="CL63" s="388"/>
      <c r="CM63" s="404"/>
      <c r="CN63" s="431"/>
      <c r="CO63" s="421">
        <f>-[39]foreigndebt!DM168</f>
        <v>0</v>
      </c>
      <c r="CP63" s="419"/>
      <c r="CQ63" s="388"/>
      <c r="CR63" s="404"/>
      <c r="CS63" s="431"/>
      <c r="CT63" s="421">
        <f>-[39]foreigndebt!DR168</f>
        <v>0</v>
      </c>
      <c r="CU63" s="419"/>
      <c r="CV63" s="388"/>
      <c r="CW63" s="404"/>
      <c r="CX63" s="431"/>
      <c r="CY63" s="421">
        <f>-[39]foreigndebt!DW168</f>
        <v>0</v>
      </c>
      <c r="CZ63" s="419"/>
      <c r="DA63" s="388"/>
      <c r="DB63" s="404"/>
      <c r="DC63" s="431"/>
      <c r="DD63" s="421">
        <f>-[39]foreigndebt!EB168</f>
        <v>0</v>
      </c>
      <c r="DE63" s="419"/>
      <c r="DF63" s="388"/>
      <c r="DG63" s="398"/>
      <c r="DJ63" s="411"/>
      <c r="DK63" s="411" t="e">
        <f>#REF!-#REF!</f>
        <v>#REF!</v>
      </c>
    </row>
    <row r="64" spans="1:115" ht="13.95" hidden="1" customHeight="1" x14ac:dyDescent="0.3">
      <c r="A64" s="388"/>
      <c r="B64" s="388"/>
      <c r="C64" s="238" t="s">
        <v>351</v>
      </c>
      <c r="D64" s="388"/>
      <c r="E64" s="403"/>
      <c r="F64" s="431"/>
      <c r="G64" s="431"/>
      <c r="H64" s="424">
        <v>0</v>
      </c>
      <c r="I64" s="419"/>
      <c r="J64" s="388"/>
      <c r="K64" s="404"/>
      <c r="L64" s="431"/>
      <c r="M64" s="424">
        <f>-[39]foreigndebt!L169</f>
        <v>0</v>
      </c>
      <c r="N64" s="419"/>
      <c r="O64" s="388"/>
      <c r="P64" s="404"/>
      <c r="Q64" s="431"/>
      <c r="R64" s="424">
        <f>-[39]foreigndebt!Q169</f>
        <v>0</v>
      </c>
      <c r="S64" s="419"/>
      <c r="T64" s="388"/>
      <c r="U64" s="404"/>
      <c r="V64" s="431"/>
      <c r="W64" s="424">
        <f>-[39]foreigndebt!V169</f>
        <v>0</v>
      </c>
      <c r="X64" s="419"/>
      <c r="Y64" s="388"/>
      <c r="Z64" s="404"/>
      <c r="AA64" s="431"/>
      <c r="AB64" s="424">
        <f>-[39]foreigndebt!AA169</f>
        <v>0</v>
      </c>
      <c r="AC64" s="419"/>
      <c r="AD64" s="388"/>
      <c r="AE64" s="404"/>
      <c r="AF64" s="431"/>
      <c r="AG64" s="424">
        <f>-[39]foreigndebt!AF169</f>
        <v>0</v>
      </c>
      <c r="AH64" s="419"/>
      <c r="AI64" s="388"/>
      <c r="AJ64" s="404"/>
      <c r="AK64" s="431"/>
      <c r="AL64" s="424">
        <f>-[39]foreigndebt!AK169</f>
        <v>0</v>
      </c>
      <c r="AM64" s="419"/>
      <c r="AN64" s="388"/>
      <c r="AO64" s="404"/>
      <c r="AP64" s="431"/>
      <c r="AQ64" s="424">
        <f>-[39]foreigndebt!AP169</f>
        <v>0</v>
      </c>
      <c r="AR64" s="419"/>
      <c r="AS64" s="388"/>
      <c r="AT64" s="404"/>
      <c r="AU64" s="431"/>
      <c r="AV64" s="424">
        <f>-[39]foreigndebt!AU169</f>
        <v>0</v>
      </c>
      <c r="AW64" s="419"/>
      <c r="AX64" s="388"/>
      <c r="AY64" s="404"/>
      <c r="AZ64" s="431"/>
      <c r="BA64" s="424">
        <f>-[39]foreigndebt!AZ169</f>
        <v>0</v>
      </c>
      <c r="BB64" s="419"/>
      <c r="BC64" s="388"/>
      <c r="BD64" s="404"/>
      <c r="BE64" s="431"/>
      <c r="BF64" s="424">
        <f>-[39]foreigndebt!BE169</f>
        <v>0</v>
      </c>
      <c r="BG64" s="419"/>
      <c r="BH64" s="388"/>
      <c r="BI64" s="404"/>
      <c r="BJ64" s="431"/>
      <c r="BK64" s="424">
        <f>-[39]foreigndebt!BJ169</f>
        <v>0</v>
      </c>
      <c r="BL64" s="419"/>
      <c r="BM64" s="388"/>
      <c r="BN64" s="404"/>
      <c r="BO64" s="431"/>
      <c r="BP64" s="424">
        <f>-[39]foreigndebt!BO169</f>
        <v>0</v>
      </c>
      <c r="BQ64" s="419"/>
      <c r="BR64" s="388"/>
      <c r="BS64" s="404"/>
      <c r="BT64" s="431"/>
      <c r="BU64" s="424">
        <f>-[39]foreigndebt!BT169</f>
        <v>0</v>
      </c>
      <c r="BV64" s="419"/>
      <c r="BW64" s="388"/>
      <c r="BX64" s="404"/>
      <c r="BY64" s="431"/>
      <c r="BZ64" s="424">
        <f>-[39]foreigndebt!CX169</f>
        <v>0</v>
      </c>
      <c r="CA64" s="419"/>
      <c r="CB64" s="388"/>
      <c r="CC64" s="404"/>
      <c r="CD64" s="431"/>
      <c r="CE64" s="424">
        <f>-[39]foreigndebt!DC169</f>
        <v>0</v>
      </c>
      <c r="CF64" s="419"/>
      <c r="CG64" s="388"/>
      <c r="CH64" s="404"/>
      <c r="CI64" s="431"/>
      <c r="CJ64" s="424">
        <f>-[39]foreigndebt!DH169</f>
        <v>0</v>
      </c>
      <c r="CK64" s="419"/>
      <c r="CL64" s="388"/>
      <c r="CM64" s="404"/>
      <c r="CN64" s="431"/>
      <c r="CO64" s="424">
        <f>-[39]foreigndebt!DM169</f>
        <v>0</v>
      </c>
      <c r="CP64" s="419"/>
      <c r="CQ64" s="388"/>
      <c r="CR64" s="404"/>
      <c r="CS64" s="431"/>
      <c r="CT64" s="424">
        <f>-[39]foreigndebt!DR169</f>
        <v>0</v>
      </c>
      <c r="CU64" s="419"/>
      <c r="CV64" s="388"/>
      <c r="CW64" s="404"/>
      <c r="CX64" s="431"/>
      <c r="CY64" s="424">
        <f>-[39]foreigndebt!DW169</f>
        <v>0</v>
      </c>
      <c r="CZ64" s="419"/>
      <c r="DA64" s="388"/>
      <c r="DB64" s="404"/>
      <c r="DC64" s="431"/>
      <c r="DD64" s="424">
        <f>-[39]foreigndebt!EB169</f>
        <v>0</v>
      </c>
      <c r="DE64" s="419"/>
      <c r="DF64" s="388"/>
      <c r="DG64" s="398"/>
      <c r="DJ64" s="411"/>
      <c r="DK64" s="411" t="e">
        <f>#REF!-#REF!</f>
        <v>#REF!</v>
      </c>
    </row>
    <row r="65" spans="1:115" x14ac:dyDescent="0.3">
      <c r="A65" s="388"/>
      <c r="B65" s="388"/>
      <c r="C65" s="398"/>
      <c r="D65" s="388"/>
      <c r="E65" s="403"/>
      <c r="F65" s="431"/>
      <c r="G65" s="446"/>
      <c r="H65" s="430"/>
      <c r="I65" s="429"/>
      <c r="J65" s="388"/>
      <c r="K65" s="404"/>
      <c r="L65" s="446"/>
      <c r="M65" s="430"/>
      <c r="N65" s="429"/>
      <c r="O65" s="388"/>
      <c r="P65" s="404"/>
      <c r="Q65" s="446"/>
      <c r="R65" s="430"/>
      <c r="S65" s="429"/>
      <c r="T65" s="388"/>
      <c r="U65" s="404"/>
      <c r="V65" s="446"/>
      <c r="W65" s="430"/>
      <c r="X65" s="429"/>
      <c r="Y65" s="388"/>
      <c r="Z65" s="404"/>
      <c r="AA65" s="446"/>
      <c r="AB65" s="430"/>
      <c r="AC65" s="429"/>
      <c r="AD65" s="388"/>
      <c r="AE65" s="404"/>
      <c r="AF65" s="446"/>
      <c r="AG65" s="430"/>
      <c r="AH65" s="429"/>
      <c r="AI65" s="388"/>
      <c r="AJ65" s="404"/>
      <c r="AK65" s="446"/>
      <c r="AL65" s="430"/>
      <c r="AM65" s="429"/>
      <c r="AN65" s="388"/>
      <c r="AO65" s="404"/>
      <c r="AP65" s="446"/>
      <c r="AQ65" s="430"/>
      <c r="AR65" s="429"/>
      <c r="AS65" s="388"/>
      <c r="AT65" s="404"/>
      <c r="AU65" s="446"/>
      <c r="AV65" s="430"/>
      <c r="AW65" s="429"/>
      <c r="AX65" s="388"/>
      <c r="AY65" s="404"/>
      <c r="AZ65" s="446"/>
      <c r="BA65" s="430"/>
      <c r="BB65" s="429"/>
      <c r="BC65" s="388"/>
      <c r="BD65" s="404"/>
      <c r="BE65" s="446"/>
      <c r="BF65" s="430"/>
      <c r="BG65" s="429"/>
      <c r="BH65" s="388"/>
      <c r="BI65" s="404"/>
      <c r="BJ65" s="446"/>
      <c r="BK65" s="430"/>
      <c r="BL65" s="429"/>
      <c r="BM65" s="388"/>
      <c r="BN65" s="404"/>
      <c r="BO65" s="446"/>
      <c r="BP65" s="430"/>
      <c r="BQ65" s="429"/>
      <c r="BR65" s="388"/>
      <c r="BS65" s="404"/>
      <c r="BT65" s="446"/>
      <c r="BU65" s="430"/>
      <c r="BV65" s="429"/>
      <c r="BW65" s="388"/>
      <c r="BX65" s="404"/>
      <c r="BY65" s="446"/>
      <c r="BZ65" s="430"/>
      <c r="CA65" s="429"/>
      <c r="CB65" s="388"/>
      <c r="CC65" s="404"/>
      <c r="CD65" s="446"/>
      <c r="CE65" s="430"/>
      <c r="CF65" s="429"/>
      <c r="CG65" s="388"/>
      <c r="CH65" s="404"/>
      <c r="CI65" s="446"/>
      <c r="CJ65" s="430"/>
      <c r="CK65" s="429"/>
      <c r="CL65" s="388"/>
      <c r="CM65" s="404"/>
      <c r="CN65" s="446"/>
      <c r="CO65" s="430"/>
      <c r="CP65" s="429"/>
      <c r="CQ65" s="388"/>
      <c r="CR65" s="404"/>
      <c r="CS65" s="446"/>
      <c r="CT65" s="430"/>
      <c r="CU65" s="429"/>
      <c r="CV65" s="388"/>
      <c r="CW65" s="404"/>
      <c r="CX65" s="446"/>
      <c r="CY65" s="430"/>
      <c r="CZ65" s="429"/>
      <c r="DA65" s="388"/>
      <c r="DB65" s="404"/>
      <c r="DC65" s="446"/>
      <c r="DD65" s="430"/>
      <c r="DE65" s="429"/>
      <c r="DF65" s="388"/>
      <c r="DG65" s="398"/>
      <c r="DJ65" s="411"/>
      <c r="DK65" s="411" t="e">
        <f>#REF!-#REF!</f>
        <v>#REF!</v>
      </c>
    </row>
    <row r="66" spans="1:115" x14ac:dyDescent="0.3">
      <c r="A66" s="388"/>
      <c r="B66" s="388"/>
      <c r="C66" s="398"/>
      <c r="D66" s="388"/>
      <c r="E66" s="403"/>
      <c r="F66" s="431"/>
      <c r="G66" s="432"/>
      <c r="H66" s="388"/>
      <c r="I66" s="388"/>
      <c r="J66" s="388"/>
      <c r="K66" s="404"/>
      <c r="L66" s="388"/>
      <c r="M66" s="388"/>
      <c r="N66" s="388"/>
      <c r="O66" s="388"/>
      <c r="P66" s="404"/>
      <c r="Q66" s="388"/>
      <c r="R66" s="388"/>
      <c r="S66" s="388"/>
      <c r="T66" s="388"/>
      <c r="U66" s="404"/>
      <c r="V66" s="388"/>
      <c r="W66" s="388"/>
      <c r="X66" s="388"/>
      <c r="Y66" s="388"/>
      <c r="Z66" s="404"/>
      <c r="AA66" s="388"/>
      <c r="AB66" s="388"/>
      <c r="AC66" s="388"/>
      <c r="AD66" s="388"/>
      <c r="AE66" s="404"/>
      <c r="AF66" s="388"/>
      <c r="AG66" s="388"/>
      <c r="AH66" s="388"/>
      <c r="AI66" s="388"/>
      <c r="AJ66" s="404"/>
      <c r="AK66" s="388"/>
      <c r="AL66" s="388"/>
      <c r="AM66" s="388"/>
      <c r="AN66" s="388"/>
      <c r="AO66" s="404"/>
      <c r="AP66" s="388"/>
      <c r="AQ66" s="388"/>
      <c r="AR66" s="388"/>
      <c r="AS66" s="388"/>
      <c r="AT66" s="404"/>
      <c r="AU66" s="388"/>
      <c r="AV66" s="388"/>
      <c r="AW66" s="388"/>
      <c r="AX66" s="388"/>
      <c r="AY66" s="404"/>
      <c r="AZ66" s="388"/>
      <c r="BA66" s="388"/>
      <c r="BB66" s="388"/>
      <c r="BC66" s="388"/>
      <c r="BD66" s="404"/>
      <c r="BE66" s="388"/>
      <c r="BF66" s="388"/>
      <c r="BG66" s="388"/>
      <c r="BH66" s="388"/>
      <c r="BI66" s="404"/>
      <c r="BJ66" s="388"/>
      <c r="BK66" s="388"/>
      <c r="BL66" s="388"/>
      <c r="BM66" s="388"/>
      <c r="BN66" s="404"/>
      <c r="BO66" s="388"/>
      <c r="BP66" s="388"/>
      <c r="BQ66" s="388"/>
      <c r="BR66" s="388"/>
      <c r="BS66" s="404"/>
      <c r="BT66" s="388"/>
      <c r="BU66" s="388"/>
      <c r="BV66" s="388"/>
      <c r="BW66" s="388"/>
      <c r="BX66" s="404"/>
      <c r="BY66" s="388"/>
      <c r="BZ66" s="388"/>
      <c r="CA66" s="388"/>
      <c r="CB66" s="388"/>
      <c r="CC66" s="404"/>
      <c r="CD66" s="388"/>
      <c r="CE66" s="388"/>
      <c r="CF66" s="388"/>
      <c r="CG66" s="388"/>
      <c r="CH66" s="404"/>
      <c r="CI66" s="388"/>
      <c r="CJ66" s="388"/>
      <c r="CK66" s="388"/>
      <c r="CL66" s="388"/>
      <c r="CM66" s="404"/>
      <c r="CN66" s="388"/>
      <c r="CO66" s="388"/>
      <c r="CP66" s="388"/>
      <c r="CQ66" s="388"/>
      <c r="CR66" s="404"/>
      <c r="CS66" s="388"/>
      <c r="CT66" s="388"/>
      <c r="CU66" s="388"/>
      <c r="CV66" s="388"/>
      <c r="CW66" s="404"/>
      <c r="CX66" s="388"/>
      <c r="CY66" s="388"/>
      <c r="CZ66" s="388"/>
      <c r="DA66" s="388"/>
      <c r="DB66" s="404"/>
      <c r="DC66" s="388"/>
      <c r="DD66" s="388"/>
      <c r="DE66" s="388"/>
      <c r="DF66" s="388"/>
      <c r="DG66" s="398"/>
      <c r="DJ66" s="411"/>
      <c r="DK66" s="411" t="e">
        <f>#REF!-#REF!</f>
        <v>#REF!</v>
      </c>
    </row>
    <row r="67" spans="1:115" s="411" customFormat="1" x14ac:dyDescent="0.3">
      <c r="A67" s="389"/>
      <c r="B67" s="389"/>
      <c r="C67" s="405" t="s">
        <v>353</v>
      </c>
      <c r="D67" s="389"/>
      <c r="E67" s="436" t="s">
        <v>354</v>
      </c>
      <c r="F67" s="437"/>
      <c r="G67" s="444"/>
      <c r="H67" s="408">
        <f>SUM(H68:H75)</f>
        <v>-52440099.997653</v>
      </c>
      <c r="I67" s="408"/>
      <c r="J67" s="408"/>
      <c r="K67" s="409"/>
      <c r="L67" s="408"/>
      <c r="M67" s="389">
        <f>SUM(M68:M75)</f>
        <v>-18499278.953769997</v>
      </c>
      <c r="N67" s="389"/>
      <c r="O67" s="389"/>
      <c r="P67" s="407"/>
      <c r="Q67" s="389"/>
      <c r="R67" s="389">
        <f>SUM(R68:R75)</f>
        <v>537410.36356998235</v>
      </c>
      <c r="S67" s="389"/>
      <c r="T67" s="389"/>
      <c r="U67" s="407"/>
      <c r="V67" s="389"/>
      <c r="W67" s="389">
        <f>SUM(W68:W75)</f>
        <v>-23974845.376640022</v>
      </c>
      <c r="X67" s="389"/>
      <c r="Y67" s="389"/>
      <c r="Z67" s="407"/>
      <c r="AA67" s="389"/>
      <c r="AB67" s="389">
        <f>SUM(AB68:AB75)</f>
        <v>-39272434.960170001</v>
      </c>
      <c r="AC67" s="389"/>
      <c r="AD67" s="389"/>
      <c r="AE67" s="407"/>
      <c r="AF67" s="389"/>
      <c r="AG67" s="389">
        <f>SUM(AG68:AG75)</f>
        <v>32418642.456500009</v>
      </c>
      <c r="AH67" s="389"/>
      <c r="AI67" s="389"/>
      <c r="AJ67" s="407"/>
      <c r="AK67" s="389"/>
      <c r="AL67" s="389">
        <f>SUM(AL68:AL75)</f>
        <v>-8875713.0291699618</v>
      </c>
      <c r="AM67" s="389"/>
      <c r="AN67" s="389"/>
      <c r="AO67" s="407"/>
      <c r="AP67" s="389"/>
      <c r="AQ67" s="389">
        <f>SUM(AQ68:AQ75)</f>
        <v>-36949546.152860001</v>
      </c>
      <c r="AR67" s="389"/>
      <c r="AS67" s="389"/>
      <c r="AT67" s="407"/>
      <c r="AU67" s="389"/>
      <c r="AV67" s="389">
        <f>SUM(AV68:AV75)</f>
        <v>-18096631.773589998</v>
      </c>
      <c r="AW67" s="389"/>
      <c r="AX67" s="389"/>
      <c r="AY67" s="407"/>
      <c r="AZ67" s="389"/>
      <c r="BA67" s="389">
        <f>SUM(BA68:BA75)</f>
        <v>-17747258.769499987</v>
      </c>
      <c r="BB67" s="389"/>
      <c r="BC67" s="389"/>
      <c r="BD67" s="407"/>
      <c r="BE67" s="389"/>
      <c r="BF67" s="389">
        <f>SUM(BF68:BF75)</f>
        <v>25860728.776310012</v>
      </c>
      <c r="BG67" s="389"/>
      <c r="BH67" s="389"/>
      <c r="BI67" s="407"/>
      <c r="BJ67" s="389"/>
      <c r="BK67" s="389">
        <f>SUM(BK68:BK75)</f>
        <v>-16055785.20701997</v>
      </c>
      <c r="BL67" s="389"/>
      <c r="BM67" s="389"/>
      <c r="BN67" s="407"/>
      <c r="BO67" s="389"/>
      <c r="BP67" s="389">
        <f>SUM(BP68:BP75)</f>
        <v>29488304.623150021</v>
      </c>
      <c r="BQ67" s="389"/>
      <c r="BR67" s="389"/>
      <c r="BS67" s="407"/>
      <c r="BT67" s="389"/>
      <c r="BU67" s="389">
        <f>SUM(BU68:BU75)</f>
        <v>-91166408.003189921</v>
      </c>
      <c r="BV67" s="389"/>
      <c r="BW67" s="389"/>
      <c r="BX67" s="407"/>
      <c r="BY67" s="389"/>
      <c r="BZ67" s="389">
        <f>SUM(BZ68:BZ75)</f>
        <v>-5938593.6452499926</v>
      </c>
      <c r="CA67" s="389"/>
      <c r="CB67" s="389"/>
      <c r="CC67" s="407"/>
      <c r="CD67" s="389"/>
      <c r="CE67" s="389">
        <f>SUM(CE68:CE75)</f>
        <v>-87185842.274320006</v>
      </c>
      <c r="CF67" s="389"/>
      <c r="CG67" s="389"/>
      <c r="CH67" s="407"/>
      <c r="CI67" s="389"/>
      <c r="CJ67" s="389">
        <f>SUM(CJ68:CJ75)</f>
        <v>4292248.4650700213</v>
      </c>
      <c r="CK67" s="389"/>
      <c r="CL67" s="389"/>
      <c r="CM67" s="407"/>
      <c r="CN67" s="389"/>
      <c r="CO67" s="389">
        <f>SUM(CO68:CO75)</f>
        <v>-21698105.034100011</v>
      </c>
      <c r="CP67" s="389"/>
      <c r="CQ67" s="389"/>
      <c r="CR67" s="407"/>
      <c r="CS67" s="389"/>
      <c r="CT67" s="389">
        <f>SUM(CT68:CT75)</f>
        <v>-5176181.2250600038</v>
      </c>
      <c r="CU67" s="389"/>
      <c r="CV67" s="389"/>
      <c r="CW67" s="407"/>
      <c r="CX67" s="389"/>
      <c r="CY67" s="389">
        <f>SUM(CY68:CY75)</f>
        <v>31144738.333759978</v>
      </c>
      <c r="CZ67" s="389"/>
      <c r="DA67" s="389"/>
      <c r="DB67" s="407"/>
      <c r="DC67" s="389"/>
      <c r="DD67" s="389">
        <f>SUM(DD68:DD75)</f>
        <v>-28811986.091639996</v>
      </c>
      <c r="DE67" s="389"/>
      <c r="DF67" s="389"/>
      <c r="DG67" s="405"/>
      <c r="DH67" s="389"/>
      <c r="DK67" s="411" t="e">
        <f>#REF!-#REF!</f>
        <v>#REF!</v>
      </c>
    </row>
    <row r="68" spans="1:115" ht="12.75" customHeight="1" x14ac:dyDescent="0.3">
      <c r="A68" s="388"/>
      <c r="B68" s="388"/>
      <c r="C68" s="398" t="s">
        <v>355</v>
      </c>
      <c r="D68" s="388"/>
      <c r="E68" s="403"/>
      <c r="F68" s="431"/>
      <c r="G68" s="435"/>
      <c r="H68" s="413">
        <f>+[39]cashbalances!H12</f>
        <v>-58956332</v>
      </c>
      <c r="I68" s="414"/>
      <c r="J68" s="388"/>
      <c r="K68" s="404"/>
      <c r="L68" s="412"/>
      <c r="M68" s="413">
        <f>+[39]cashbalances!M12</f>
        <v>-18484170</v>
      </c>
      <c r="N68" s="414"/>
      <c r="O68" s="388"/>
      <c r="P68" s="404"/>
      <c r="Q68" s="412"/>
      <c r="R68" s="413">
        <f>+[39]cashbalances!R12</f>
        <v>3349854</v>
      </c>
      <c r="S68" s="414"/>
      <c r="T68" s="388"/>
      <c r="U68" s="404"/>
      <c r="V68" s="412"/>
      <c r="W68" s="413">
        <f>+[39]cashbalances!W12</f>
        <v>-22973000</v>
      </c>
      <c r="X68" s="414"/>
      <c r="Y68" s="388"/>
      <c r="Z68" s="404"/>
      <c r="AA68" s="412"/>
      <c r="AB68" s="413">
        <f>+[39]cashbalances!AB12</f>
        <v>-53649787</v>
      </c>
      <c r="AC68" s="414"/>
      <c r="AD68" s="388"/>
      <c r="AE68" s="404"/>
      <c r="AF68" s="412"/>
      <c r="AG68" s="413">
        <f>+[39]cashbalances!AG12</f>
        <v>41961434</v>
      </c>
      <c r="AH68" s="414"/>
      <c r="AI68" s="388"/>
      <c r="AJ68" s="404"/>
      <c r="AK68" s="412"/>
      <c r="AL68" s="413">
        <f>+[39]cashbalances!AL12</f>
        <v>-13252498</v>
      </c>
      <c r="AM68" s="414"/>
      <c r="AN68" s="388"/>
      <c r="AO68" s="404"/>
      <c r="AP68" s="412"/>
      <c r="AQ68" s="413">
        <f>+[39]cashbalances!AQ12</f>
        <v>-40961985</v>
      </c>
      <c r="AR68" s="414"/>
      <c r="AS68" s="388"/>
      <c r="AT68" s="404"/>
      <c r="AU68" s="412"/>
      <c r="AV68" s="413">
        <f>+[39]cashbalances!AV12</f>
        <v>-19510192</v>
      </c>
      <c r="AW68" s="414"/>
      <c r="AX68" s="388"/>
      <c r="AY68" s="404"/>
      <c r="AZ68" s="412"/>
      <c r="BA68" s="413">
        <f>+[39]cashbalances!BA12</f>
        <v>-18762903</v>
      </c>
      <c r="BB68" s="414"/>
      <c r="BC68" s="388"/>
      <c r="BD68" s="404"/>
      <c r="BE68" s="412"/>
      <c r="BF68" s="413">
        <f>+[39]cashbalances!BF12</f>
        <v>-420333</v>
      </c>
      <c r="BG68" s="414"/>
      <c r="BH68" s="388"/>
      <c r="BI68" s="404"/>
      <c r="BJ68" s="412"/>
      <c r="BK68" s="413">
        <f>+[39]cashbalances!BK12</f>
        <v>-11986294</v>
      </c>
      <c r="BL68" s="414"/>
      <c r="BM68" s="388"/>
      <c r="BN68" s="404"/>
      <c r="BO68" s="412"/>
      <c r="BP68" s="413">
        <f>+[39]cashbalances!BP12</f>
        <v>52747862</v>
      </c>
      <c r="BQ68" s="414"/>
      <c r="BR68" s="388"/>
      <c r="BS68" s="404"/>
      <c r="BT68" s="412"/>
      <c r="BU68" s="413">
        <f>+[39]cashbalances!BU12</f>
        <v>-101942012</v>
      </c>
      <c r="BV68" s="414"/>
      <c r="BW68" s="388"/>
      <c r="BX68" s="404"/>
      <c r="BY68" s="412"/>
      <c r="BZ68" s="413">
        <f>+[39]cashbalances!CY12</f>
        <v>10515236</v>
      </c>
      <c r="CA68" s="414"/>
      <c r="CB68" s="388"/>
      <c r="CC68" s="404"/>
      <c r="CD68" s="412"/>
      <c r="CE68" s="413">
        <f>+[39]cashbalances!DD12</f>
        <v>-104528279</v>
      </c>
      <c r="CF68" s="414"/>
      <c r="CG68" s="388"/>
      <c r="CH68" s="404"/>
      <c r="CI68" s="412"/>
      <c r="CJ68" s="413">
        <f>+[39]cashbalances!DI12</f>
        <v>2731873</v>
      </c>
      <c r="CK68" s="414"/>
      <c r="CL68" s="388"/>
      <c r="CM68" s="404"/>
      <c r="CN68" s="412"/>
      <c r="CO68" s="413">
        <f>+[39]cashbalances!DN12</f>
        <v>-9369739</v>
      </c>
      <c r="CP68" s="414"/>
      <c r="CQ68" s="388"/>
      <c r="CR68" s="404"/>
      <c r="CS68" s="412"/>
      <c r="CT68" s="413">
        <f>+[39]cashbalances!DS12</f>
        <v>-7896523</v>
      </c>
      <c r="CU68" s="414"/>
      <c r="CV68" s="388"/>
      <c r="CW68" s="404"/>
      <c r="CX68" s="412"/>
      <c r="CY68" s="413">
        <f>+[39]cashbalances!DX12</f>
        <v>33364654</v>
      </c>
      <c r="CZ68" s="414"/>
      <c r="DA68" s="388"/>
      <c r="DB68" s="404"/>
      <c r="DC68" s="412"/>
      <c r="DD68" s="413">
        <f>+[39]cashbalances!EC12</f>
        <v>-27939762</v>
      </c>
      <c r="DE68" s="414"/>
      <c r="DF68" s="388"/>
      <c r="DG68" s="398"/>
      <c r="DJ68" s="411"/>
      <c r="DK68" s="411" t="e">
        <f>#REF!-#REF!</f>
        <v>#REF!</v>
      </c>
    </row>
    <row r="69" spans="1:115" ht="12.75" hidden="1" customHeight="1" x14ac:dyDescent="0.3">
      <c r="A69" s="388"/>
      <c r="B69" s="388"/>
      <c r="C69" s="398" t="s">
        <v>356</v>
      </c>
      <c r="D69" s="388"/>
      <c r="E69" s="403"/>
      <c r="F69" s="431"/>
      <c r="G69" s="431"/>
      <c r="H69" s="388"/>
      <c r="I69" s="419"/>
      <c r="J69" s="388"/>
      <c r="K69" s="404"/>
      <c r="L69" s="404"/>
      <c r="M69" s="388"/>
      <c r="N69" s="419"/>
      <c r="O69" s="388"/>
      <c r="P69" s="404"/>
      <c r="Q69" s="404"/>
      <c r="R69" s="388"/>
      <c r="S69" s="419"/>
      <c r="T69" s="388"/>
      <c r="U69" s="404"/>
      <c r="V69" s="404"/>
      <c r="W69" s="388"/>
      <c r="X69" s="419"/>
      <c r="Y69" s="388"/>
      <c r="Z69" s="404"/>
      <c r="AA69" s="404"/>
      <c r="AB69" s="388"/>
      <c r="AC69" s="419"/>
      <c r="AD69" s="388"/>
      <c r="AE69" s="404"/>
      <c r="AF69" s="404"/>
      <c r="AG69" s="388"/>
      <c r="AH69" s="419"/>
      <c r="AI69" s="388"/>
      <c r="AJ69" s="404"/>
      <c r="AK69" s="404"/>
      <c r="AL69" s="388"/>
      <c r="AM69" s="419"/>
      <c r="AN69" s="388"/>
      <c r="AO69" s="404"/>
      <c r="AP69" s="404"/>
      <c r="AQ69" s="388"/>
      <c r="AR69" s="419"/>
      <c r="AS69" s="388"/>
      <c r="AT69" s="404"/>
      <c r="AU69" s="404"/>
      <c r="AV69" s="388"/>
      <c r="AW69" s="419"/>
      <c r="AX69" s="388"/>
      <c r="AY69" s="404"/>
      <c r="AZ69" s="404"/>
      <c r="BA69" s="388"/>
      <c r="BB69" s="419"/>
      <c r="BC69" s="388"/>
      <c r="BD69" s="404"/>
      <c r="BE69" s="404"/>
      <c r="BF69" s="388"/>
      <c r="BG69" s="419"/>
      <c r="BH69" s="388"/>
      <c r="BI69" s="404"/>
      <c r="BJ69" s="404"/>
      <c r="BK69" s="388"/>
      <c r="BL69" s="419"/>
      <c r="BM69" s="388"/>
      <c r="BN69" s="404"/>
      <c r="BO69" s="404"/>
      <c r="BP69" s="388"/>
      <c r="BQ69" s="419"/>
      <c r="BR69" s="388"/>
      <c r="BS69" s="404"/>
      <c r="BT69" s="404"/>
      <c r="BU69" s="388"/>
      <c r="BV69" s="419"/>
      <c r="BW69" s="388"/>
      <c r="BX69" s="404"/>
      <c r="BY69" s="404"/>
      <c r="BZ69" s="388"/>
      <c r="CA69" s="419"/>
      <c r="CB69" s="388"/>
      <c r="CC69" s="404"/>
      <c r="CD69" s="404"/>
      <c r="CE69" s="388"/>
      <c r="CF69" s="419"/>
      <c r="CG69" s="388"/>
      <c r="CH69" s="404"/>
      <c r="CI69" s="404"/>
      <c r="CJ69" s="388"/>
      <c r="CK69" s="419"/>
      <c r="CL69" s="388"/>
      <c r="CM69" s="404"/>
      <c r="CN69" s="404"/>
      <c r="CO69" s="388"/>
      <c r="CP69" s="419"/>
      <c r="CQ69" s="388"/>
      <c r="CR69" s="404"/>
      <c r="CS69" s="404"/>
      <c r="CT69" s="388"/>
      <c r="CU69" s="419"/>
      <c r="CV69" s="388"/>
      <c r="CW69" s="404"/>
      <c r="CX69" s="404"/>
      <c r="CY69" s="388"/>
      <c r="CZ69" s="419"/>
      <c r="DA69" s="388"/>
      <c r="DB69" s="404"/>
      <c r="DC69" s="404"/>
      <c r="DD69" s="388"/>
      <c r="DE69" s="419"/>
      <c r="DF69" s="388"/>
      <c r="DG69" s="398"/>
      <c r="DJ69" s="411"/>
      <c r="DK69" s="411" t="e">
        <f>#REF!-#REF!</f>
        <v>#REF!</v>
      </c>
    </row>
    <row r="70" spans="1:115" ht="12.75" customHeight="1" x14ac:dyDescent="0.3">
      <c r="A70" s="388"/>
      <c r="B70" s="388"/>
      <c r="C70" s="398" t="s">
        <v>356</v>
      </c>
      <c r="D70" s="388"/>
      <c r="E70" s="403"/>
      <c r="F70" s="431"/>
      <c r="G70" s="431"/>
      <c r="H70" s="388">
        <f>+[39]cashbalances!H23</f>
        <v>0</v>
      </c>
      <c r="I70" s="419"/>
      <c r="J70" s="388"/>
      <c r="K70" s="404"/>
      <c r="L70" s="404"/>
      <c r="M70" s="388">
        <f>+[39]cashbalances!M23</f>
        <v>34143659</v>
      </c>
      <c r="N70" s="419"/>
      <c r="O70" s="388"/>
      <c r="P70" s="404"/>
      <c r="Q70" s="404"/>
      <c r="R70" s="388">
        <f>+[39]cashbalances!R23</f>
        <v>-4349966</v>
      </c>
      <c r="S70" s="419"/>
      <c r="T70" s="388"/>
      <c r="U70" s="404"/>
      <c r="V70" s="404"/>
      <c r="W70" s="388">
        <f>+[39]cashbalances!W23</f>
        <v>2527515</v>
      </c>
      <c r="X70" s="419"/>
      <c r="Y70" s="388"/>
      <c r="Z70" s="404"/>
      <c r="AA70" s="404"/>
      <c r="AB70" s="388">
        <f>+[39]cashbalances!AB23</f>
        <v>-24856159</v>
      </c>
      <c r="AC70" s="419"/>
      <c r="AD70" s="388"/>
      <c r="AE70" s="404"/>
      <c r="AF70" s="404"/>
      <c r="AG70" s="388">
        <f>+[39]cashbalances!AG23</f>
        <v>26866570</v>
      </c>
      <c r="AH70" s="419"/>
      <c r="AI70" s="388"/>
      <c r="AJ70" s="404"/>
      <c r="AK70" s="404"/>
      <c r="AL70" s="388">
        <f>+[39]cashbalances!AL23</f>
        <v>-5977613</v>
      </c>
      <c r="AM70" s="419"/>
      <c r="AN70" s="388"/>
      <c r="AO70" s="404"/>
      <c r="AP70" s="404"/>
      <c r="AQ70" s="388">
        <f>+[39]cashbalances!AQ23</f>
        <v>15416167</v>
      </c>
      <c r="AR70" s="419"/>
      <c r="AS70" s="388"/>
      <c r="AT70" s="404"/>
      <c r="AU70" s="404"/>
      <c r="AV70" s="388">
        <f>+[39]cashbalances!AV23</f>
        <v>-315227</v>
      </c>
      <c r="AW70" s="419"/>
      <c r="AX70" s="388"/>
      <c r="AY70" s="404"/>
      <c r="AZ70" s="404"/>
      <c r="BA70" s="388">
        <f>+[39]cashbalances!BA23</f>
        <v>-6539100</v>
      </c>
      <c r="BB70" s="419"/>
      <c r="BC70" s="388"/>
      <c r="BD70" s="404"/>
      <c r="BE70" s="404"/>
      <c r="BF70" s="388">
        <f>+[39]cashbalances!BF23</f>
        <v>59957836</v>
      </c>
      <c r="BG70" s="419"/>
      <c r="BH70" s="388"/>
      <c r="BI70" s="404"/>
      <c r="BJ70" s="404"/>
      <c r="BK70" s="388">
        <f>+[39]cashbalances!BK23</f>
        <v>-1550683</v>
      </c>
      <c r="BL70" s="419"/>
      <c r="BM70" s="388"/>
      <c r="BN70" s="404"/>
      <c r="BO70" s="404"/>
      <c r="BP70" s="388">
        <f>+[39]cashbalances!BP23</f>
        <v>-80682653</v>
      </c>
      <c r="BQ70" s="419"/>
      <c r="BR70" s="388"/>
      <c r="BS70" s="404"/>
      <c r="BT70" s="404"/>
      <c r="BU70" s="388">
        <f>+[39]cashbalances!BU23</f>
        <v>14640346</v>
      </c>
      <c r="BV70" s="419"/>
      <c r="BW70" s="388"/>
      <c r="BX70" s="404"/>
      <c r="BY70" s="404"/>
      <c r="BZ70" s="388">
        <f>+[39]cashbalances!CY23</f>
        <v>-8222766</v>
      </c>
      <c r="CA70" s="419"/>
      <c r="CB70" s="388"/>
      <c r="CC70" s="404"/>
      <c r="CD70" s="404"/>
      <c r="CE70" s="388">
        <f>+[39]cashbalances!DD23</f>
        <v>21412052</v>
      </c>
      <c r="CF70" s="419"/>
      <c r="CG70" s="388"/>
      <c r="CH70" s="404"/>
      <c r="CI70" s="404"/>
      <c r="CJ70" s="388">
        <f>+[39]cashbalances!DI23</f>
        <v>67094</v>
      </c>
      <c r="CK70" s="419"/>
      <c r="CL70" s="388"/>
      <c r="CM70" s="404"/>
      <c r="CN70" s="404"/>
      <c r="CO70" s="388">
        <f>+[39]cashbalances!DN23</f>
        <v>5423083</v>
      </c>
      <c r="CP70" s="419"/>
      <c r="CQ70" s="388"/>
      <c r="CR70" s="404"/>
      <c r="CS70" s="404"/>
      <c r="CT70" s="388">
        <f>+[39]cashbalances!DS23</f>
        <v>3006040</v>
      </c>
      <c r="CU70" s="419"/>
      <c r="CV70" s="388"/>
      <c r="CW70" s="404"/>
      <c r="CX70" s="404"/>
      <c r="CY70" s="388">
        <f>+[39]cashbalances!DX23</f>
        <v>484408</v>
      </c>
      <c r="CZ70" s="419"/>
      <c r="DA70" s="388"/>
      <c r="DB70" s="404"/>
      <c r="DC70" s="404"/>
      <c r="DD70" s="388">
        <f>+[39]cashbalances!EC23</f>
        <v>4553332</v>
      </c>
      <c r="DE70" s="419"/>
      <c r="DF70" s="388"/>
      <c r="DG70" s="398"/>
      <c r="DJ70" s="411"/>
      <c r="DK70" s="411" t="e">
        <f>#REF!-#REF!</f>
        <v>#REF!</v>
      </c>
    </row>
    <row r="71" spans="1:115" ht="12.75" customHeight="1" x14ac:dyDescent="0.3">
      <c r="A71" s="388"/>
      <c r="B71" s="388"/>
      <c r="C71" s="238" t="s">
        <v>357</v>
      </c>
      <c r="D71" s="388"/>
      <c r="E71" s="403"/>
      <c r="F71" s="431"/>
      <c r="G71" s="431"/>
      <c r="H71" s="388">
        <f>+[39]cashbalances!H25</f>
        <v>0</v>
      </c>
      <c r="I71" s="419"/>
      <c r="J71" s="388"/>
      <c r="K71" s="404"/>
      <c r="L71" s="404"/>
      <c r="M71" s="388">
        <f>[39]cashbalances!M25</f>
        <v>0</v>
      </c>
      <c r="N71" s="419"/>
      <c r="O71" s="388"/>
      <c r="P71" s="404"/>
      <c r="Q71" s="404"/>
      <c r="R71" s="388">
        <f>[39]cashbalances!R25</f>
        <v>0</v>
      </c>
      <c r="S71" s="419"/>
      <c r="T71" s="388"/>
      <c r="U71" s="404"/>
      <c r="V71" s="404"/>
      <c r="W71" s="388">
        <f>[39]cashbalances!W25</f>
        <v>0</v>
      </c>
      <c r="X71" s="419"/>
      <c r="Y71" s="388"/>
      <c r="Z71" s="404"/>
      <c r="AA71" s="404"/>
      <c r="AB71" s="388">
        <f>[39]cashbalances!AB25</f>
        <v>0</v>
      </c>
      <c r="AC71" s="419"/>
      <c r="AD71" s="388"/>
      <c r="AE71" s="404"/>
      <c r="AF71" s="404"/>
      <c r="AG71" s="388">
        <f>[39]cashbalances!AG25</f>
        <v>0</v>
      </c>
      <c r="AH71" s="419"/>
      <c r="AI71" s="388"/>
      <c r="AJ71" s="404"/>
      <c r="AK71" s="404"/>
      <c r="AL71" s="388">
        <f>[39]cashbalances!AL25</f>
        <v>0</v>
      </c>
      <c r="AM71" s="419"/>
      <c r="AN71" s="388"/>
      <c r="AO71" s="404"/>
      <c r="AP71" s="404"/>
      <c r="AQ71" s="388">
        <f>[39]cashbalances!AQ25</f>
        <v>0</v>
      </c>
      <c r="AR71" s="419"/>
      <c r="AS71" s="388"/>
      <c r="AT71" s="404"/>
      <c r="AU71" s="404"/>
      <c r="AV71" s="388">
        <f>[39]cashbalances!AV25</f>
        <v>0</v>
      </c>
      <c r="AW71" s="419"/>
      <c r="AX71" s="388"/>
      <c r="AY71" s="404"/>
      <c r="AZ71" s="404"/>
      <c r="BA71" s="388">
        <f>[39]cashbalances!BA25</f>
        <v>0</v>
      </c>
      <c r="BB71" s="419"/>
      <c r="BC71" s="388"/>
      <c r="BD71" s="404"/>
      <c r="BE71" s="404"/>
      <c r="BF71" s="388">
        <f>[39]cashbalances!BF25</f>
        <v>0</v>
      </c>
      <c r="BG71" s="419"/>
      <c r="BH71" s="388"/>
      <c r="BI71" s="404"/>
      <c r="BJ71" s="404"/>
      <c r="BK71" s="388">
        <f>[39]cashbalances!BK25</f>
        <v>0</v>
      </c>
      <c r="BL71" s="419"/>
      <c r="BM71" s="388"/>
      <c r="BN71" s="404"/>
      <c r="BO71" s="404"/>
      <c r="BP71" s="388">
        <f>[39]cashbalances!BP25</f>
        <v>0</v>
      </c>
      <c r="BQ71" s="419"/>
      <c r="BR71" s="388"/>
      <c r="BS71" s="404"/>
      <c r="BT71" s="404"/>
      <c r="BU71" s="388">
        <f>[39]cashbalances!BU25</f>
        <v>0</v>
      </c>
      <c r="BV71" s="419"/>
      <c r="BW71" s="388"/>
      <c r="BX71" s="404"/>
      <c r="BY71" s="404"/>
      <c r="BZ71" s="388">
        <f>[39]cashbalances!CY25</f>
        <v>0</v>
      </c>
      <c r="CA71" s="419"/>
      <c r="CB71" s="388"/>
      <c r="CC71" s="404"/>
      <c r="CD71" s="404"/>
      <c r="CE71" s="388">
        <f>[39]cashbalances!DD25</f>
        <v>0</v>
      </c>
      <c r="CF71" s="419"/>
      <c r="CG71" s="388"/>
      <c r="CH71" s="404"/>
      <c r="CI71" s="404"/>
      <c r="CJ71" s="388">
        <f>[39]cashbalances!DI25</f>
        <v>0</v>
      </c>
      <c r="CK71" s="419"/>
      <c r="CL71" s="388"/>
      <c r="CM71" s="404"/>
      <c r="CN71" s="404"/>
      <c r="CO71" s="388">
        <f>[39]cashbalances!DN25</f>
        <v>0</v>
      </c>
      <c r="CP71" s="419"/>
      <c r="CQ71" s="388"/>
      <c r="CR71" s="404"/>
      <c r="CS71" s="404"/>
      <c r="CT71" s="388">
        <f>[39]cashbalances!DS25</f>
        <v>0</v>
      </c>
      <c r="CU71" s="419"/>
      <c r="CV71" s="388"/>
      <c r="CW71" s="404"/>
      <c r="CX71" s="404"/>
      <c r="CY71" s="388">
        <f>[39]cashbalances!DX25</f>
        <v>0</v>
      </c>
      <c r="CZ71" s="419"/>
      <c r="DA71" s="388"/>
      <c r="DB71" s="404"/>
      <c r="DC71" s="404"/>
      <c r="DD71" s="388">
        <f>[39]cashbalances!EC25</f>
        <v>0</v>
      </c>
      <c r="DE71" s="419"/>
      <c r="DF71" s="388"/>
      <c r="DG71" s="398"/>
      <c r="DJ71" s="411"/>
      <c r="DK71" s="411" t="e">
        <f>#REF!-#REF!</f>
        <v>#REF!</v>
      </c>
    </row>
    <row r="72" spans="1:115" ht="12.75" customHeight="1" x14ac:dyDescent="0.3">
      <c r="A72" s="388"/>
      <c r="B72" s="388"/>
      <c r="C72" s="398" t="s">
        <v>358</v>
      </c>
      <c r="D72" s="388"/>
      <c r="E72" s="403"/>
      <c r="F72" s="431"/>
      <c r="G72" s="431"/>
      <c r="H72" s="388">
        <f>+[39]cashbalances!H27</f>
        <v>6516232.0023469981</v>
      </c>
      <c r="I72" s="419"/>
      <c r="J72" s="388"/>
      <c r="K72" s="404"/>
      <c r="L72" s="404"/>
      <c r="M72" s="388">
        <f>+[39]cashbalances!M27</f>
        <v>0</v>
      </c>
      <c r="N72" s="419"/>
      <c r="O72" s="388"/>
      <c r="P72" s="404"/>
      <c r="Q72" s="404"/>
      <c r="R72" s="388">
        <f>+[39]cashbalances!R27</f>
        <v>871744.25600000005</v>
      </c>
      <c r="S72" s="419"/>
      <c r="T72" s="388"/>
      <c r="U72" s="404"/>
      <c r="V72" s="404"/>
      <c r="W72" s="388">
        <f>+[39]cashbalances!W27</f>
        <v>0</v>
      </c>
      <c r="X72" s="419"/>
      <c r="Y72" s="388"/>
      <c r="Z72" s="404"/>
      <c r="AA72" s="404"/>
      <c r="AB72" s="388">
        <f>+[39]cashbalances!AB27</f>
        <v>126224</v>
      </c>
      <c r="AC72" s="419"/>
      <c r="AD72" s="388"/>
      <c r="AE72" s="404"/>
      <c r="AF72" s="404"/>
      <c r="AG72" s="388">
        <f>+[39]cashbalances!AG27</f>
        <v>0</v>
      </c>
      <c r="AH72" s="419"/>
      <c r="AI72" s="388"/>
      <c r="AJ72" s="404"/>
      <c r="AK72" s="404"/>
      <c r="AL72" s="388">
        <f>+[39]cashbalances!AL27</f>
        <v>3836</v>
      </c>
      <c r="AM72" s="419"/>
      <c r="AN72" s="388"/>
      <c r="AO72" s="404"/>
      <c r="AP72" s="404"/>
      <c r="AQ72" s="388">
        <f>+[39]cashbalances!AQ27</f>
        <v>1831061</v>
      </c>
      <c r="AR72" s="419"/>
      <c r="AS72" s="388"/>
      <c r="AT72" s="404"/>
      <c r="AU72" s="404"/>
      <c r="AV72" s="388">
        <f>+[39]cashbalances!AV27</f>
        <v>2236273</v>
      </c>
      <c r="AW72" s="419"/>
      <c r="AX72" s="388"/>
      <c r="AY72" s="404"/>
      <c r="AZ72" s="404"/>
      <c r="BA72" s="388">
        <f>+[39]cashbalances!BA27</f>
        <v>1620990</v>
      </c>
      <c r="BB72" s="419"/>
      <c r="BC72" s="388"/>
      <c r="BD72" s="404"/>
      <c r="BE72" s="404"/>
      <c r="BF72" s="388">
        <f>+[39]cashbalances!BF27</f>
        <v>89678</v>
      </c>
      <c r="BG72" s="419"/>
      <c r="BH72" s="388"/>
      <c r="BI72" s="404"/>
      <c r="BJ72" s="404"/>
      <c r="BK72" s="388">
        <f>+[39]cashbalances!BK27</f>
        <v>1022787</v>
      </c>
      <c r="BL72" s="419"/>
      <c r="BM72" s="388"/>
      <c r="BN72" s="404"/>
      <c r="BO72" s="404"/>
      <c r="BP72" s="388">
        <f>+[39]cashbalances!BP27</f>
        <v>6347564</v>
      </c>
      <c r="BQ72" s="419"/>
      <c r="BR72" s="388"/>
      <c r="BS72" s="404"/>
      <c r="BT72" s="404"/>
      <c r="BU72" s="388">
        <f>+[39]cashbalances!BU27</f>
        <v>14150157.256000001</v>
      </c>
      <c r="BV72" s="419"/>
      <c r="BW72" s="388"/>
      <c r="BX72" s="404"/>
      <c r="BY72" s="404"/>
      <c r="BZ72" s="388">
        <f>+[39]cashbalances!CY27</f>
        <v>1736919</v>
      </c>
      <c r="CA72" s="419"/>
      <c r="CB72" s="388"/>
      <c r="CC72" s="404"/>
      <c r="CD72" s="404"/>
      <c r="CE72" s="388">
        <f>+[39]cashbalances!DD27</f>
        <v>245929</v>
      </c>
      <c r="CF72" s="419"/>
      <c r="CG72" s="388"/>
      <c r="CH72" s="404"/>
      <c r="CI72" s="404"/>
      <c r="CJ72" s="388">
        <f>+[39]cashbalances!DI27</f>
        <v>2261765</v>
      </c>
      <c r="CK72" s="419"/>
      <c r="CL72" s="388"/>
      <c r="CM72" s="404"/>
      <c r="CN72" s="404"/>
      <c r="CO72" s="388">
        <f>+[39]cashbalances!DN27</f>
        <v>1146180</v>
      </c>
      <c r="CP72" s="419"/>
      <c r="CQ72" s="388"/>
      <c r="CR72" s="404"/>
      <c r="CS72" s="404"/>
      <c r="CT72" s="388">
        <f>+[39]cashbalances!DS27</f>
        <v>1005353</v>
      </c>
      <c r="CU72" s="419"/>
      <c r="CV72" s="388"/>
      <c r="CW72" s="404"/>
      <c r="CX72" s="404"/>
      <c r="CY72" s="388">
        <f>+[39]cashbalances!DX27</f>
        <v>41798</v>
      </c>
      <c r="CZ72" s="419"/>
      <c r="DA72" s="388"/>
      <c r="DB72" s="404"/>
      <c r="DC72" s="404"/>
      <c r="DD72" s="388">
        <f>+[39]cashbalances!EC27</f>
        <v>360442</v>
      </c>
      <c r="DE72" s="419"/>
      <c r="DF72" s="388"/>
      <c r="DG72" s="398"/>
      <c r="DJ72" s="411"/>
      <c r="DK72" s="411" t="e">
        <f>#REF!-#REF!</f>
        <v>#REF!</v>
      </c>
    </row>
    <row r="73" spans="1:115" ht="12.75" customHeight="1" x14ac:dyDescent="0.3">
      <c r="A73" s="388"/>
      <c r="B73" s="388"/>
      <c r="C73" s="398" t="s">
        <v>359</v>
      </c>
      <c r="D73" s="388"/>
      <c r="E73" s="403"/>
      <c r="F73" s="431"/>
      <c r="G73" s="431"/>
      <c r="H73" s="388">
        <f>+[39]cashbalances!H32</f>
        <v>0</v>
      </c>
      <c r="I73" s="419"/>
      <c r="J73" s="388"/>
      <c r="K73" s="404"/>
      <c r="L73" s="404"/>
      <c r="M73" s="388">
        <f>+[39]cashbalances!M32</f>
        <v>0</v>
      </c>
      <c r="N73" s="419"/>
      <c r="O73" s="388"/>
      <c r="P73" s="404"/>
      <c r="Q73" s="404"/>
      <c r="R73" s="388">
        <f>+[39]cashbalances!R32</f>
        <v>0</v>
      </c>
      <c r="S73" s="419"/>
      <c r="T73" s="388"/>
      <c r="U73" s="404"/>
      <c r="V73" s="404"/>
      <c r="W73" s="388">
        <f>+[39]cashbalances!W32</f>
        <v>0</v>
      </c>
      <c r="X73" s="419"/>
      <c r="Y73" s="388"/>
      <c r="Z73" s="404"/>
      <c r="AA73" s="404"/>
      <c r="AB73" s="388">
        <f>+[39]cashbalances!AB32</f>
        <v>-22185</v>
      </c>
      <c r="AC73" s="419"/>
      <c r="AD73" s="388"/>
      <c r="AE73" s="404"/>
      <c r="AF73" s="404"/>
      <c r="AG73" s="388">
        <f>+[39]cashbalances!AG32</f>
        <v>0</v>
      </c>
      <c r="AH73" s="419"/>
      <c r="AI73" s="388"/>
      <c r="AJ73" s="404"/>
      <c r="AK73" s="404"/>
      <c r="AL73" s="388">
        <f>+[39]cashbalances!AL32</f>
        <v>0</v>
      </c>
      <c r="AM73" s="419"/>
      <c r="AN73" s="388"/>
      <c r="AO73" s="404"/>
      <c r="AP73" s="404"/>
      <c r="AQ73" s="388">
        <f>+[39]cashbalances!AQ32</f>
        <v>0</v>
      </c>
      <c r="AR73" s="419"/>
      <c r="AS73" s="388"/>
      <c r="AT73" s="404"/>
      <c r="AU73" s="404"/>
      <c r="AV73" s="388">
        <f>+[39]cashbalances!AV32</f>
        <v>0</v>
      </c>
      <c r="AW73" s="419"/>
      <c r="AX73" s="388"/>
      <c r="AY73" s="404"/>
      <c r="AZ73" s="404"/>
      <c r="BA73" s="388">
        <f>+[39]cashbalances!BA32</f>
        <v>0</v>
      </c>
      <c r="BB73" s="419"/>
      <c r="BC73" s="388"/>
      <c r="BD73" s="404"/>
      <c r="BE73" s="404"/>
      <c r="BF73" s="388">
        <f>+[39]cashbalances!BF32</f>
        <v>0</v>
      </c>
      <c r="BG73" s="419"/>
      <c r="BH73" s="388"/>
      <c r="BI73" s="404"/>
      <c r="BJ73" s="404"/>
      <c r="BK73" s="388">
        <f>+[39]cashbalances!BK32</f>
        <v>0</v>
      </c>
      <c r="BL73" s="419"/>
      <c r="BM73" s="388"/>
      <c r="BN73" s="404"/>
      <c r="BO73" s="404"/>
      <c r="BP73" s="388">
        <f>+[39]cashbalances!BP32</f>
        <v>-510</v>
      </c>
      <c r="BQ73" s="419"/>
      <c r="BR73" s="388"/>
      <c r="BS73" s="404"/>
      <c r="BT73" s="404"/>
      <c r="BU73" s="388">
        <f>+[39]cashbalances!BU32</f>
        <v>-22695</v>
      </c>
      <c r="BV73" s="419"/>
      <c r="BW73" s="388"/>
      <c r="BX73" s="404"/>
      <c r="BY73" s="404"/>
      <c r="BZ73" s="388">
        <f>+[39]cashbalances!CY32</f>
        <v>-98</v>
      </c>
      <c r="CA73" s="419"/>
      <c r="CB73" s="388"/>
      <c r="CC73" s="404"/>
      <c r="CD73" s="404"/>
      <c r="CE73" s="388">
        <f>+[39]cashbalances!DD32</f>
        <v>0</v>
      </c>
      <c r="CF73" s="419"/>
      <c r="CG73" s="388"/>
      <c r="CH73" s="404"/>
      <c r="CI73" s="404"/>
      <c r="CJ73" s="388">
        <f>+[39]cashbalances!DI32</f>
        <v>-372528</v>
      </c>
      <c r="CK73" s="419"/>
      <c r="CL73" s="388"/>
      <c r="CM73" s="404"/>
      <c r="CN73" s="404"/>
      <c r="CO73" s="388">
        <f>+[39]cashbalances!DN32</f>
        <v>0</v>
      </c>
      <c r="CP73" s="419"/>
      <c r="CQ73" s="388"/>
      <c r="CR73" s="404"/>
      <c r="CS73" s="404"/>
      <c r="CT73" s="388">
        <f>+[39]cashbalances!DS32</f>
        <v>0</v>
      </c>
      <c r="CU73" s="419"/>
      <c r="CV73" s="388"/>
      <c r="CW73" s="404"/>
      <c r="CX73" s="404"/>
      <c r="CY73" s="388">
        <f>+[39]cashbalances!DX32</f>
        <v>0</v>
      </c>
      <c r="CZ73" s="419"/>
      <c r="DA73" s="388"/>
      <c r="DB73" s="404"/>
      <c r="DC73" s="404"/>
      <c r="DD73" s="388">
        <f>+[39]cashbalances!EC32</f>
        <v>0</v>
      </c>
      <c r="DE73" s="419"/>
      <c r="DF73" s="388"/>
      <c r="DG73" s="398"/>
      <c r="DJ73" s="411"/>
      <c r="DK73" s="411" t="e">
        <f>#REF!-#REF!</f>
        <v>#REF!</v>
      </c>
    </row>
    <row r="74" spans="1:115" ht="12.75" hidden="1" customHeight="1" x14ac:dyDescent="0.3">
      <c r="A74" s="388"/>
      <c r="B74" s="388"/>
      <c r="C74" s="398" t="s">
        <v>360</v>
      </c>
      <c r="D74" s="388"/>
      <c r="E74" s="403"/>
      <c r="F74" s="431"/>
      <c r="G74" s="431"/>
      <c r="H74" s="388"/>
      <c r="I74" s="419"/>
      <c r="J74" s="388"/>
      <c r="K74" s="404"/>
      <c r="L74" s="404"/>
      <c r="M74" s="388"/>
      <c r="N74" s="419"/>
      <c r="O74" s="388"/>
      <c r="P74" s="404"/>
      <c r="Q74" s="404"/>
      <c r="R74" s="388"/>
      <c r="S74" s="419"/>
      <c r="T74" s="388"/>
      <c r="U74" s="404"/>
      <c r="V74" s="404"/>
      <c r="W74" s="388"/>
      <c r="X74" s="419"/>
      <c r="Y74" s="388"/>
      <c r="Z74" s="404"/>
      <c r="AA74" s="404"/>
      <c r="AB74" s="388"/>
      <c r="AC74" s="419"/>
      <c r="AD74" s="388"/>
      <c r="AE74" s="404"/>
      <c r="AF74" s="404"/>
      <c r="AG74" s="388"/>
      <c r="AH74" s="419"/>
      <c r="AI74" s="388"/>
      <c r="AJ74" s="404"/>
      <c r="AK74" s="404"/>
      <c r="AL74" s="388"/>
      <c r="AM74" s="419"/>
      <c r="AN74" s="388"/>
      <c r="AO74" s="404"/>
      <c r="AP74" s="404"/>
      <c r="AQ74" s="388"/>
      <c r="AR74" s="419"/>
      <c r="AS74" s="388"/>
      <c r="AT74" s="404"/>
      <c r="AU74" s="404"/>
      <c r="AV74" s="388"/>
      <c r="AW74" s="419"/>
      <c r="AX74" s="388"/>
      <c r="AY74" s="404"/>
      <c r="AZ74" s="404"/>
      <c r="BA74" s="388"/>
      <c r="BB74" s="419"/>
      <c r="BC74" s="388"/>
      <c r="BD74" s="404"/>
      <c r="BE74" s="404"/>
      <c r="BF74" s="388"/>
      <c r="BG74" s="419"/>
      <c r="BH74" s="388"/>
      <c r="BI74" s="404"/>
      <c r="BJ74" s="404"/>
      <c r="BK74" s="388"/>
      <c r="BL74" s="419"/>
      <c r="BM74" s="388"/>
      <c r="BN74" s="404"/>
      <c r="BO74" s="404"/>
      <c r="BP74" s="388"/>
      <c r="BQ74" s="419"/>
      <c r="BR74" s="388"/>
      <c r="BS74" s="404"/>
      <c r="BT74" s="404"/>
      <c r="BU74" s="388"/>
      <c r="BV74" s="419"/>
      <c r="BW74" s="388"/>
      <c r="BX74" s="404"/>
      <c r="BY74" s="404"/>
      <c r="BZ74" s="388"/>
      <c r="CA74" s="419"/>
      <c r="CB74" s="388"/>
      <c r="CC74" s="404"/>
      <c r="CD74" s="404"/>
      <c r="CE74" s="388"/>
      <c r="CF74" s="419"/>
      <c r="CG74" s="388"/>
      <c r="CH74" s="404"/>
      <c r="CI74" s="404"/>
      <c r="CJ74" s="388"/>
      <c r="CK74" s="419"/>
      <c r="CL74" s="388"/>
      <c r="CM74" s="404"/>
      <c r="CN74" s="404"/>
      <c r="CO74" s="388"/>
      <c r="CP74" s="419"/>
      <c r="CQ74" s="388"/>
      <c r="CR74" s="404"/>
      <c r="CS74" s="404"/>
      <c r="CT74" s="388"/>
      <c r="CU74" s="419"/>
      <c r="CV74" s="388"/>
      <c r="CW74" s="404"/>
      <c r="CX74" s="404"/>
      <c r="CY74" s="388"/>
      <c r="CZ74" s="419"/>
      <c r="DA74" s="388"/>
      <c r="DB74" s="404"/>
      <c r="DC74" s="404"/>
      <c r="DD74" s="388"/>
      <c r="DE74" s="419"/>
      <c r="DF74" s="388"/>
      <c r="DG74" s="398"/>
      <c r="DJ74" s="411"/>
      <c r="DK74" s="411" t="e">
        <f>#REF!-#REF!</f>
        <v>#REF!</v>
      </c>
    </row>
    <row r="75" spans="1:115" ht="12.75" customHeight="1" x14ac:dyDescent="0.3">
      <c r="A75" s="388"/>
      <c r="B75" s="388"/>
      <c r="C75" s="398" t="s">
        <v>360</v>
      </c>
      <c r="D75" s="388"/>
      <c r="E75" s="403"/>
      <c r="F75" s="431"/>
      <c r="G75" s="446"/>
      <c r="H75" s="430">
        <f>+[39]cashbalances!H38</f>
        <v>0</v>
      </c>
      <c r="I75" s="429"/>
      <c r="J75" s="388"/>
      <c r="K75" s="404"/>
      <c r="L75" s="427"/>
      <c r="M75" s="430">
        <f>+[39]cashbalances!M38</f>
        <v>-34158767.953769997</v>
      </c>
      <c r="N75" s="429"/>
      <c r="O75" s="388"/>
      <c r="P75" s="404"/>
      <c r="Q75" s="427"/>
      <c r="R75" s="430">
        <f>+[39]cashbalances!R38</f>
        <v>665778.1075699823</v>
      </c>
      <c r="S75" s="429"/>
      <c r="T75" s="388"/>
      <c r="U75" s="404"/>
      <c r="V75" s="427"/>
      <c r="W75" s="430">
        <f>+[39]cashbalances!W38</f>
        <v>-3529360.3766400218</v>
      </c>
      <c r="X75" s="429"/>
      <c r="Y75" s="388"/>
      <c r="Z75" s="404"/>
      <c r="AA75" s="427"/>
      <c r="AB75" s="430">
        <f>+[39]cashbalances!AB38</f>
        <v>39129472.039829999</v>
      </c>
      <c r="AC75" s="429"/>
      <c r="AD75" s="388"/>
      <c r="AE75" s="404"/>
      <c r="AF75" s="427"/>
      <c r="AG75" s="430">
        <f>+[39]cashbalances!AG38</f>
        <v>-36409361.543499991</v>
      </c>
      <c r="AH75" s="429"/>
      <c r="AI75" s="388"/>
      <c r="AJ75" s="404"/>
      <c r="AK75" s="427"/>
      <c r="AL75" s="430">
        <f>+[39]cashbalances!AL38</f>
        <v>10350561.970830038</v>
      </c>
      <c r="AM75" s="429"/>
      <c r="AN75" s="388"/>
      <c r="AO75" s="404"/>
      <c r="AP75" s="427"/>
      <c r="AQ75" s="430">
        <f>+[39]cashbalances!AQ38</f>
        <v>-13234789.152860001</v>
      </c>
      <c r="AR75" s="429"/>
      <c r="AS75" s="388"/>
      <c r="AT75" s="404"/>
      <c r="AU75" s="427"/>
      <c r="AV75" s="430">
        <f>+[39]cashbalances!AV38</f>
        <v>-507485.77358999848</v>
      </c>
      <c r="AW75" s="429"/>
      <c r="AX75" s="388"/>
      <c r="AY75" s="404"/>
      <c r="AZ75" s="427"/>
      <c r="BA75" s="430">
        <f>+[39]cashbalances!BA38</f>
        <v>5933754.2305000126</v>
      </c>
      <c r="BB75" s="429"/>
      <c r="BC75" s="388"/>
      <c r="BD75" s="404"/>
      <c r="BE75" s="427"/>
      <c r="BF75" s="430">
        <f>+[39]cashbalances!BF38</f>
        <v>-33766452.223689988</v>
      </c>
      <c r="BG75" s="429"/>
      <c r="BH75" s="388"/>
      <c r="BI75" s="404"/>
      <c r="BJ75" s="427"/>
      <c r="BK75" s="430">
        <f>+[39]cashbalances!BK38</f>
        <v>-3541595.2070199698</v>
      </c>
      <c r="BL75" s="429"/>
      <c r="BM75" s="388"/>
      <c r="BN75" s="404"/>
      <c r="BO75" s="427"/>
      <c r="BP75" s="430">
        <f>+[39]cashbalances!BP38</f>
        <v>51076041.623150021</v>
      </c>
      <c r="BQ75" s="429"/>
      <c r="BR75" s="388"/>
      <c r="BS75" s="404"/>
      <c r="BT75" s="427"/>
      <c r="BU75" s="430">
        <f>+[39]cashbalances!BU38</f>
        <v>-17992204.259189919</v>
      </c>
      <c r="BV75" s="429"/>
      <c r="BW75" s="388"/>
      <c r="BX75" s="404"/>
      <c r="BY75" s="427"/>
      <c r="BZ75" s="430">
        <f>+[39]cashbalances!CY38</f>
        <v>-9967884.6452499926</v>
      </c>
      <c r="CA75" s="429"/>
      <c r="CB75" s="388"/>
      <c r="CC75" s="404"/>
      <c r="CD75" s="427"/>
      <c r="CE75" s="430">
        <f>+[39]cashbalances!DD38</f>
        <v>-4315544.2743200064</v>
      </c>
      <c r="CF75" s="429"/>
      <c r="CG75" s="388"/>
      <c r="CH75" s="404"/>
      <c r="CI75" s="427"/>
      <c r="CJ75" s="430">
        <f>+[39]cashbalances!DI38</f>
        <v>-395955.53492997866</v>
      </c>
      <c r="CK75" s="429"/>
      <c r="CL75" s="388"/>
      <c r="CM75" s="404"/>
      <c r="CN75" s="427"/>
      <c r="CO75" s="430">
        <f>+[39]cashbalances!DN38</f>
        <v>-18897629.034100011</v>
      </c>
      <c r="CP75" s="429"/>
      <c r="CQ75" s="388"/>
      <c r="CR75" s="404"/>
      <c r="CS75" s="427"/>
      <c r="CT75" s="430">
        <f>+[39]cashbalances!DS38</f>
        <v>-1291051.2250600038</v>
      </c>
      <c r="CU75" s="429"/>
      <c r="CV75" s="388"/>
      <c r="CW75" s="404"/>
      <c r="CX75" s="427"/>
      <c r="CY75" s="430">
        <f>+[39]cashbalances!DX38</f>
        <v>-2746121.6662400216</v>
      </c>
      <c r="CZ75" s="429"/>
      <c r="DA75" s="388"/>
      <c r="DB75" s="404"/>
      <c r="DC75" s="427"/>
      <c r="DD75" s="430">
        <f>+[39]cashbalances!EC38</f>
        <v>-5785998.0916399956</v>
      </c>
      <c r="DE75" s="429"/>
      <c r="DF75" s="388"/>
      <c r="DG75" s="398"/>
      <c r="DJ75" s="411"/>
      <c r="DK75" s="411" t="e">
        <f>#REF!-#REF!</f>
        <v>#REF!</v>
      </c>
    </row>
    <row r="76" spans="1:115" x14ac:dyDescent="0.3">
      <c r="A76" s="388"/>
      <c r="B76" s="388"/>
      <c r="C76" s="398"/>
      <c r="D76" s="388"/>
      <c r="E76" s="403"/>
      <c r="F76" s="431"/>
      <c r="G76" s="432"/>
      <c r="H76" s="388"/>
      <c r="I76" s="388"/>
      <c r="J76" s="388"/>
      <c r="K76" s="404"/>
      <c r="L76" s="388"/>
      <c r="M76" s="388"/>
      <c r="N76" s="388"/>
      <c r="O76" s="388"/>
      <c r="P76" s="404"/>
      <c r="Q76" s="388"/>
      <c r="R76" s="388"/>
      <c r="S76" s="388"/>
      <c r="T76" s="388"/>
      <c r="U76" s="404"/>
      <c r="V76" s="388"/>
      <c r="W76" s="388"/>
      <c r="X76" s="388"/>
      <c r="Y76" s="388"/>
      <c r="Z76" s="404"/>
      <c r="AA76" s="388"/>
      <c r="AB76" s="388"/>
      <c r="AC76" s="388"/>
      <c r="AD76" s="388"/>
      <c r="AE76" s="404"/>
      <c r="AF76" s="388"/>
      <c r="AG76" s="388"/>
      <c r="AH76" s="388"/>
      <c r="AI76" s="388"/>
      <c r="AJ76" s="404"/>
      <c r="AK76" s="388"/>
      <c r="AL76" s="388"/>
      <c r="AM76" s="388"/>
      <c r="AN76" s="388"/>
      <c r="AO76" s="404"/>
      <c r="AP76" s="388"/>
      <c r="AQ76" s="388"/>
      <c r="AR76" s="388"/>
      <c r="AS76" s="388"/>
      <c r="AT76" s="404"/>
      <c r="AU76" s="388"/>
      <c r="AV76" s="388"/>
      <c r="AW76" s="388"/>
      <c r="AX76" s="388"/>
      <c r="AY76" s="404"/>
      <c r="AZ76" s="388"/>
      <c r="BA76" s="388"/>
      <c r="BB76" s="388"/>
      <c r="BC76" s="388"/>
      <c r="BD76" s="404"/>
      <c r="BE76" s="388"/>
      <c r="BF76" s="388"/>
      <c r="BG76" s="388"/>
      <c r="BH76" s="388"/>
      <c r="BI76" s="404"/>
      <c r="BJ76" s="388"/>
      <c r="BK76" s="388"/>
      <c r="BL76" s="388"/>
      <c r="BM76" s="388"/>
      <c r="BN76" s="404"/>
      <c r="BO76" s="388"/>
      <c r="BP76" s="388"/>
      <c r="BQ76" s="388"/>
      <c r="BR76" s="388"/>
      <c r="BS76" s="404"/>
      <c r="BT76" s="388"/>
      <c r="BU76" s="388"/>
      <c r="BV76" s="388"/>
      <c r="BW76" s="388"/>
      <c r="BX76" s="404"/>
      <c r="BY76" s="388"/>
      <c r="BZ76" s="388"/>
      <c r="CA76" s="388"/>
      <c r="CB76" s="388"/>
      <c r="CC76" s="404"/>
      <c r="CD76" s="388"/>
      <c r="CE76" s="388"/>
      <c r="CF76" s="388"/>
      <c r="CG76" s="388"/>
      <c r="CH76" s="404"/>
      <c r="CI76" s="388"/>
      <c r="CJ76" s="388"/>
      <c r="CK76" s="388"/>
      <c r="CL76" s="388"/>
      <c r="CM76" s="404"/>
      <c r="CN76" s="388"/>
      <c r="CO76" s="388"/>
      <c r="CP76" s="388"/>
      <c r="CQ76" s="388"/>
      <c r="CR76" s="404"/>
      <c r="CS76" s="388"/>
      <c r="CT76" s="388"/>
      <c r="CU76" s="388"/>
      <c r="CV76" s="388"/>
      <c r="CW76" s="404"/>
      <c r="CX76" s="388"/>
      <c r="CY76" s="388"/>
      <c r="CZ76" s="388"/>
      <c r="DA76" s="388"/>
      <c r="DB76" s="404"/>
      <c r="DC76" s="388"/>
      <c r="DD76" s="388"/>
      <c r="DE76" s="388"/>
      <c r="DF76" s="388"/>
      <c r="DG76" s="398"/>
      <c r="DJ76" s="411"/>
      <c r="DK76" s="411" t="e">
        <f>#REF!-#REF!</f>
        <v>#REF!</v>
      </c>
    </row>
    <row r="77" spans="1:115" s="411" customFormat="1" x14ac:dyDescent="0.3">
      <c r="A77" s="389"/>
      <c r="B77" s="389"/>
      <c r="C77" s="447" t="s">
        <v>361</v>
      </c>
      <c r="D77" s="448"/>
      <c r="E77" s="406"/>
      <c r="F77" s="449"/>
      <c r="G77" s="450"/>
      <c r="H77" s="451">
        <f>+H13+H23+H44+H67</f>
        <v>603388420.00234699</v>
      </c>
      <c r="I77" s="451"/>
      <c r="J77" s="451"/>
      <c r="K77" s="452"/>
      <c r="L77" s="451"/>
      <c r="M77" s="451">
        <f>+M13+M23+M44+M67</f>
        <v>51156457.046230003</v>
      </c>
      <c r="N77" s="451"/>
      <c r="O77" s="451"/>
      <c r="P77" s="452"/>
      <c r="Q77" s="451"/>
      <c r="R77" s="451">
        <f>+R13+R23+R44+R67</f>
        <v>52369080.107569978</v>
      </c>
      <c r="S77" s="451"/>
      <c r="T77" s="451"/>
      <c r="U77" s="452"/>
      <c r="V77" s="451"/>
      <c r="W77" s="451">
        <f>+W13+W23+W44+W67</f>
        <v>22296182.623359978</v>
      </c>
      <c r="X77" s="451"/>
      <c r="Y77" s="451"/>
      <c r="Z77" s="452"/>
      <c r="AA77" s="451"/>
      <c r="AB77" s="451">
        <f>+AB13+AB23+AB44+AB67</f>
        <v>134529648.03983</v>
      </c>
      <c r="AC77" s="451"/>
      <c r="AD77" s="451"/>
      <c r="AE77" s="452"/>
      <c r="AF77" s="451"/>
      <c r="AG77" s="451">
        <f>+AG13+AG23+AG44+AG67</f>
        <v>63673793.456500009</v>
      </c>
      <c r="AH77" s="451"/>
      <c r="AI77" s="451"/>
      <c r="AJ77" s="452"/>
      <c r="AK77" s="451"/>
      <c r="AL77" s="451">
        <f>+AL13+AL23+AL44+AL67</f>
        <v>42866801.970830038</v>
      </c>
      <c r="AM77" s="451"/>
      <c r="AN77" s="451"/>
      <c r="AO77" s="452"/>
      <c r="AP77" s="451"/>
      <c r="AQ77" s="451">
        <f>+AQ13+AQ23+AQ44+AQ67</f>
        <v>49729127.847139999</v>
      </c>
      <c r="AR77" s="451"/>
      <c r="AS77" s="451"/>
      <c r="AT77" s="452"/>
      <c r="AU77" s="451"/>
      <c r="AV77" s="451">
        <f>+AV13+AV23+AV44+AV67</f>
        <v>21403285.226410002</v>
      </c>
      <c r="AW77" s="451"/>
      <c r="AX77" s="451"/>
      <c r="AY77" s="452"/>
      <c r="AZ77" s="451"/>
      <c r="BA77" s="451">
        <f>+BA13+BA23+BA44+BA67</f>
        <v>-5051318.7694999874</v>
      </c>
      <c r="BB77" s="451"/>
      <c r="BC77" s="451"/>
      <c r="BD77" s="452"/>
      <c r="BE77" s="451"/>
      <c r="BF77" s="451">
        <f>+BF13+BF23+BF44+BF67</f>
        <v>76235278.776310012</v>
      </c>
      <c r="BG77" s="451"/>
      <c r="BH77" s="451"/>
      <c r="BI77" s="452"/>
      <c r="BJ77" s="451"/>
      <c r="BK77" s="451">
        <f>+BK13+BK23+BK44+BK67</f>
        <v>12830619.79298003</v>
      </c>
      <c r="BL77" s="451"/>
      <c r="BM77" s="451"/>
      <c r="BN77" s="452"/>
      <c r="BO77" s="451"/>
      <c r="BP77" s="451">
        <f>+BP13+BP23+BP44+BP67</f>
        <v>29818752.623150021</v>
      </c>
      <c r="BQ77" s="451"/>
      <c r="BR77" s="451"/>
      <c r="BS77" s="452"/>
      <c r="BT77" s="451"/>
      <c r="BU77" s="451">
        <f>+BU13+BU23+BU44+BU67</f>
        <v>551857708.74081004</v>
      </c>
      <c r="BV77" s="451"/>
      <c r="BW77" s="451"/>
      <c r="BX77" s="452"/>
      <c r="BY77" s="451"/>
      <c r="BZ77" s="451">
        <f>+BZ13+BZ23+BZ44+BZ67</f>
        <v>32839807.354750007</v>
      </c>
      <c r="CA77" s="451"/>
      <c r="CB77" s="451"/>
      <c r="CC77" s="452"/>
      <c r="CD77" s="451"/>
      <c r="CE77" s="451">
        <f>+CE13+CE23+CE44+CE67</f>
        <v>649646.72567999363</v>
      </c>
      <c r="CF77" s="451"/>
      <c r="CG77" s="451"/>
      <c r="CH77" s="452"/>
      <c r="CI77" s="451"/>
      <c r="CJ77" s="451">
        <f>+CJ13+CJ23+CJ44+CJ67</f>
        <v>42343200.465070024</v>
      </c>
      <c r="CK77" s="451"/>
      <c r="CL77" s="451"/>
      <c r="CM77" s="452"/>
      <c r="CN77" s="451"/>
      <c r="CO77" s="451">
        <f>+CO13+CO23+CO44+CO67</f>
        <v>15141181.965899989</v>
      </c>
      <c r="CP77" s="451"/>
      <c r="CQ77" s="451"/>
      <c r="CR77" s="452"/>
      <c r="CS77" s="451"/>
      <c r="CT77" s="451">
        <f>+CT13+CT23+CT44+CT67</f>
        <v>2169109.7749399962</v>
      </c>
      <c r="CU77" s="451"/>
      <c r="CV77" s="451"/>
      <c r="CW77" s="452"/>
      <c r="CX77" s="451"/>
      <c r="CY77" s="451">
        <f>+CY13+CY23+CY44+CY67</f>
        <v>47546404.333759978</v>
      </c>
      <c r="CZ77" s="451"/>
      <c r="DA77" s="451"/>
      <c r="DB77" s="452"/>
      <c r="DC77" s="451"/>
      <c r="DD77" s="451">
        <f>+DD13+DD23+DD44+DD67</f>
        <v>-2152970.0916399956</v>
      </c>
      <c r="DE77" s="451"/>
      <c r="DF77" s="451"/>
      <c r="DG77" s="405"/>
      <c r="DH77" s="389"/>
      <c r="DK77" s="411" t="e">
        <f>#REF!-#REF!</f>
        <v>#REF!</v>
      </c>
    </row>
    <row r="78" spans="1:115" ht="15" customHeight="1" x14ac:dyDescent="0.3">
      <c r="A78" s="388"/>
      <c r="B78" s="388"/>
      <c r="C78" s="453"/>
      <c r="D78" s="454"/>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4"/>
      <c r="BL78" s="454"/>
      <c r="BM78" s="454"/>
      <c r="BN78" s="454"/>
      <c r="BO78" s="454"/>
      <c r="BP78" s="454"/>
      <c r="BQ78" s="454"/>
      <c r="BR78" s="454"/>
      <c r="BS78" s="454"/>
      <c r="BT78" s="454"/>
      <c r="BU78" s="454"/>
      <c r="BV78" s="454"/>
      <c r="BW78" s="454"/>
      <c r="BX78" s="454"/>
      <c r="BY78" s="454"/>
      <c r="BZ78" s="454"/>
      <c r="CA78" s="454"/>
      <c r="CB78" s="454"/>
      <c r="CC78" s="454"/>
      <c r="CD78" s="454"/>
      <c r="CE78" s="454"/>
      <c r="CF78" s="454"/>
      <c r="CG78" s="454"/>
      <c r="CH78" s="454"/>
      <c r="CI78" s="454"/>
      <c r="CJ78" s="454"/>
      <c r="CK78" s="454"/>
      <c r="CL78" s="454"/>
      <c r="CM78" s="454"/>
      <c r="CN78" s="454"/>
      <c r="CO78" s="454"/>
      <c r="CP78" s="454"/>
      <c r="CQ78" s="454"/>
      <c r="CR78" s="454"/>
      <c r="CS78" s="454"/>
      <c r="CT78" s="454"/>
      <c r="CU78" s="454"/>
      <c r="CV78" s="454"/>
      <c r="CW78" s="454"/>
      <c r="CX78" s="454"/>
      <c r="CY78" s="454"/>
      <c r="CZ78" s="454"/>
      <c r="DA78" s="454"/>
      <c r="DB78" s="454"/>
      <c r="DC78" s="454"/>
      <c r="DD78" s="454"/>
      <c r="DE78" s="454"/>
      <c r="DF78" s="454"/>
      <c r="DG78" s="388"/>
      <c r="DK78" s="411" t="e">
        <f>#REF!-#REF!</f>
        <v>#REF!</v>
      </c>
    </row>
    <row r="79" spans="1:115" ht="5.25" customHeight="1" x14ac:dyDescent="0.3">
      <c r="A79" s="388"/>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388"/>
      <c r="BI79" s="388"/>
      <c r="BJ79" s="388"/>
      <c r="BK79" s="388"/>
      <c r="BL79" s="388"/>
      <c r="BM79" s="388"/>
      <c r="BN79" s="388"/>
      <c r="BO79" s="388"/>
      <c r="BP79" s="388"/>
      <c r="BQ79" s="388"/>
      <c r="BR79" s="388"/>
      <c r="BS79" s="388"/>
      <c r="BT79" s="388"/>
      <c r="BU79" s="388"/>
      <c r="BV79" s="388"/>
      <c r="BW79" s="388"/>
      <c r="BX79" s="388"/>
      <c r="BY79" s="388"/>
      <c r="BZ79" s="388"/>
      <c r="CA79" s="388"/>
      <c r="CB79" s="388"/>
      <c r="CC79" s="388"/>
      <c r="CD79" s="388"/>
      <c r="CE79" s="388"/>
      <c r="CF79" s="388"/>
      <c r="CG79" s="388"/>
      <c r="CH79" s="388"/>
      <c r="CI79" s="388"/>
      <c r="CJ79" s="388"/>
      <c r="CK79" s="388"/>
      <c r="CL79" s="388"/>
      <c r="CM79" s="388"/>
      <c r="CN79" s="388"/>
      <c r="CO79" s="388"/>
      <c r="CP79" s="388"/>
      <c r="CQ79" s="388"/>
      <c r="CR79" s="388"/>
      <c r="CS79" s="388"/>
      <c r="CT79" s="388"/>
      <c r="CU79" s="388"/>
      <c r="CV79" s="388"/>
      <c r="CW79" s="388"/>
      <c r="CX79" s="388"/>
      <c r="CY79" s="388"/>
      <c r="CZ79" s="388"/>
      <c r="DA79" s="388"/>
      <c r="DB79" s="388"/>
      <c r="DC79" s="388"/>
      <c r="DD79" s="388"/>
      <c r="DE79" s="388"/>
      <c r="DF79" s="388"/>
      <c r="DG79" s="388"/>
    </row>
    <row r="80" spans="1:115" ht="15" customHeight="1" x14ac:dyDescent="0.3">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c r="BT80" s="388"/>
      <c r="BU80" s="388"/>
      <c r="BV80" s="388"/>
      <c r="BW80" s="388"/>
      <c r="BX80" s="388"/>
      <c r="BY80" s="388"/>
      <c r="BZ80" s="388"/>
      <c r="CA80" s="388"/>
      <c r="CB80" s="388"/>
      <c r="CC80" s="388"/>
      <c r="CD80" s="388"/>
      <c r="CE80" s="388"/>
      <c r="CF80" s="388"/>
      <c r="CG80" s="388"/>
      <c r="CH80" s="388"/>
      <c r="CI80" s="388"/>
      <c r="CJ80" s="388"/>
      <c r="CK80" s="388"/>
      <c r="CL80" s="388"/>
      <c r="CM80" s="388"/>
      <c r="CN80" s="388"/>
      <c r="CO80" s="388"/>
      <c r="CP80" s="388"/>
      <c r="CQ80" s="388"/>
      <c r="CR80" s="388"/>
      <c r="CS80" s="388"/>
      <c r="CT80" s="388"/>
      <c r="CU80" s="388"/>
      <c r="CV80" s="388"/>
      <c r="CW80" s="388"/>
      <c r="CX80" s="388"/>
      <c r="CY80" s="388"/>
      <c r="CZ80" s="388"/>
      <c r="DA80" s="388"/>
      <c r="DB80" s="388"/>
      <c r="DC80" s="388"/>
      <c r="DD80" s="388"/>
      <c r="DE80" s="388"/>
      <c r="DF80" s="388"/>
      <c r="DG80" s="388"/>
    </row>
    <row r="81" spans="2:112" s="455" customFormat="1" ht="15" hidden="1" customHeight="1" x14ac:dyDescent="0.3">
      <c r="B81" s="456"/>
      <c r="D81" s="457"/>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8"/>
      <c r="AM81" s="456"/>
      <c r="AN81" s="456"/>
      <c r="AO81" s="456"/>
      <c r="AP81" s="456"/>
      <c r="AQ81" s="456"/>
      <c r="AR81" s="456"/>
      <c r="AS81" s="456"/>
      <c r="AT81" s="456"/>
      <c r="AU81" s="456"/>
      <c r="AV81" s="456"/>
      <c r="AW81" s="456"/>
      <c r="AX81" s="456"/>
      <c r="AY81" s="456"/>
      <c r="AZ81" s="456"/>
      <c r="BA81" s="456"/>
      <c r="BB81" s="456"/>
      <c r="BC81" s="456"/>
      <c r="BD81" s="456"/>
      <c r="BE81" s="456"/>
      <c r="BF81" s="456"/>
      <c r="BG81" s="456"/>
      <c r="BH81" s="456"/>
      <c r="BI81" s="456"/>
      <c r="BJ81" s="456"/>
      <c r="BK81" s="456"/>
      <c r="BL81" s="456"/>
      <c r="BM81" s="456"/>
      <c r="BN81" s="456"/>
      <c r="BO81" s="456"/>
      <c r="BP81" s="456"/>
      <c r="BQ81" s="456"/>
      <c r="BR81" s="456"/>
      <c r="BS81" s="456"/>
      <c r="BT81" s="456"/>
      <c r="BU81" s="456"/>
      <c r="BV81" s="456"/>
      <c r="BW81" s="389" t="e">
        <f>+BW82+BW89</f>
        <v>#REF!</v>
      </c>
      <c r="BX81" s="456"/>
      <c r="BY81" s="456"/>
      <c r="BZ81" s="456"/>
      <c r="CA81" s="456"/>
      <c r="CB81" s="456"/>
      <c r="CC81" s="456"/>
      <c r="CD81" s="456"/>
      <c r="CE81" s="456"/>
      <c r="CF81" s="456"/>
      <c r="CG81" s="456"/>
      <c r="CH81" s="456"/>
      <c r="CI81" s="456"/>
      <c r="CJ81" s="456"/>
      <c r="CK81" s="456"/>
      <c r="CL81" s="456"/>
      <c r="CM81" s="456"/>
      <c r="CN81" s="456"/>
      <c r="CO81" s="456"/>
      <c r="CP81" s="456"/>
      <c r="CQ81" s="456"/>
      <c r="CR81" s="456"/>
      <c r="CS81" s="456"/>
      <c r="CT81" s="456"/>
      <c r="CU81" s="456"/>
      <c r="CV81" s="456"/>
      <c r="CW81" s="456"/>
      <c r="CX81" s="456"/>
      <c r="CY81" s="456"/>
      <c r="CZ81" s="456"/>
      <c r="DA81" s="456"/>
      <c r="DB81" s="456"/>
      <c r="DC81" s="456"/>
      <c r="DD81" s="456"/>
      <c r="DE81" s="456"/>
      <c r="DF81" s="456"/>
      <c r="DG81" s="456"/>
      <c r="DH81" s="456"/>
    </row>
    <row r="82" spans="2:112" s="455" customFormat="1" ht="15" hidden="1" customHeight="1" x14ac:dyDescent="0.3">
      <c r="B82" s="456"/>
      <c r="C82" s="459"/>
      <c r="D82" s="457"/>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456"/>
      <c r="BU82" s="456"/>
      <c r="BV82" s="456"/>
      <c r="BW82" s="388" t="e">
        <f>SUM(BW83:BW87)</f>
        <v>#REF!</v>
      </c>
      <c r="BX82" s="456"/>
      <c r="BY82" s="456"/>
      <c r="BZ82" s="456"/>
      <c r="CA82" s="456"/>
      <c r="CB82" s="456"/>
      <c r="CC82" s="456"/>
      <c r="CD82" s="456"/>
      <c r="CE82" s="456"/>
      <c r="CF82" s="456"/>
      <c r="CG82" s="456"/>
      <c r="CH82" s="456"/>
      <c r="CI82" s="456"/>
      <c r="CJ82" s="456"/>
      <c r="CK82" s="456"/>
      <c r="CL82" s="456"/>
      <c r="CM82" s="456"/>
      <c r="CN82" s="456"/>
      <c r="CO82" s="456"/>
      <c r="CP82" s="456"/>
      <c r="CQ82" s="456"/>
      <c r="CR82" s="456"/>
      <c r="CS82" s="456"/>
      <c r="CT82" s="456"/>
      <c r="CU82" s="456"/>
      <c r="CV82" s="456"/>
      <c r="CW82" s="456"/>
      <c r="CX82" s="456"/>
      <c r="CY82" s="456"/>
      <c r="CZ82" s="456"/>
      <c r="DA82" s="456"/>
      <c r="DB82" s="456"/>
      <c r="DC82" s="456"/>
      <c r="DD82" s="456"/>
      <c r="DE82" s="456"/>
      <c r="DF82" s="456"/>
      <c r="DG82" s="456"/>
      <c r="DH82" s="456"/>
    </row>
    <row r="83" spans="2:112" ht="15" hidden="1" customHeight="1" x14ac:dyDescent="0.3">
      <c r="B83" s="388"/>
      <c r="C83" s="388"/>
      <c r="D83" s="388"/>
      <c r="E83" s="388"/>
      <c r="F83" s="388"/>
      <c r="G83" s="388"/>
      <c r="H83" s="388"/>
      <c r="I83" s="388"/>
      <c r="J83" s="388"/>
      <c r="K83" s="388"/>
      <c r="L83" s="388"/>
      <c r="M83" s="388" t="e">
        <f>M13-#REF!</f>
        <v>#REF!</v>
      </c>
      <c r="N83" s="388" t="e">
        <f>N13-#REF!</f>
        <v>#REF!</v>
      </c>
      <c r="O83" s="388" t="e">
        <f>O13-#REF!</f>
        <v>#REF!</v>
      </c>
      <c r="P83" s="388" t="e">
        <f>P13-#REF!</f>
        <v>#REF!</v>
      </c>
      <c r="Q83" s="388" t="e">
        <f>Q13-#REF!</f>
        <v>#REF!</v>
      </c>
      <c r="R83" s="388" t="e">
        <f>R13-#REF!</f>
        <v>#REF!</v>
      </c>
      <c r="S83" s="388" t="e">
        <f>S13-#REF!</f>
        <v>#REF!</v>
      </c>
      <c r="T83" s="388" t="e">
        <f>T13-#REF!</f>
        <v>#REF!</v>
      </c>
      <c r="U83" s="388" t="e">
        <f>U13-#REF!</f>
        <v>#REF!</v>
      </c>
      <c r="V83" s="388" t="e">
        <f>V13-#REF!</f>
        <v>#REF!</v>
      </c>
      <c r="W83" s="388" t="e">
        <f>W13-#REF!</f>
        <v>#REF!</v>
      </c>
      <c r="X83" s="388" t="e">
        <f>X13-#REF!</f>
        <v>#REF!</v>
      </c>
      <c r="Y83" s="388" t="e">
        <f>Y13-#REF!</f>
        <v>#REF!</v>
      </c>
      <c r="Z83" s="388" t="e">
        <f>Z13-#REF!</f>
        <v>#REF!</v>
      </c>
      <c r="AA83" s="388" t="e">
        <f>AA13-#REF!</f>
        <v>#REF!</v>
      </c>
      <c r="AB83" s="388" t="e">
        <f>AB13-#REF!</f>
        <v>#REF!</v>
      </c>
      <c r="AC83" s="388" t="e">
        <f>AC13-#REF!</f>
        <v>#REF!</v>
      </c>
      <c r="AD83" s="388" t="e">
        <f>AD13-#REF!</f>
        <v>#REF!</v>
      </c>
      <c r="AE83" s="388">
        <f>AE13-BX13</f>
        <v>0</v>
      </c>
      <c r="AF83" s="388">
        <f>AF13-BY13</f>
        <v>0</v>
      </c>
      <c r="AG83" s="388">
        <f>AG13-BZ13</f>
        <v>-16587922</v>
      </c>
      <c r="AH83" s="388">
        <f>AH13-CA13</f>
        <v>0</v>
      </c>
      <c r="AI83" s="388">
        <f>AI13-CB13</f>
        <v>0</v>
      </c>
      <c r="AJ83" s="388">
        <f>AJ13-CC13</f>
        <v>0</v>
      </c>
      <c r="AK83" s="388">
        <f>AK13-CD13</f>
        <v>0</v>
      </c>
      <c r="AL83" s="388">
        <f>AL13-CE13</f>
        <v>18639242</v>
      </c>
      <c r="AM83" s="388">
        <f>AM13-CF13</f>
        <v>0</v>
      </c>
      <c r="AN83" s="388">
        <f>AN13-CG13</f>
        <v>0</v>
      </c>
      <c r="AO83" s="388">
        <f>AO13-CH13</f>
        <v>0</v>
      </c>
      <c r="AP83" s="388">
        <f>AP13-CI13</f>
        <v>0</v>
      </c>
      <c r="AQ83" s="388">
        <f>AQ13-CJ13</f>
        <v>23320142</v>
      </c>
      <c r="AR83" s="388">
        <f>AR13-CK13</f>
        <v>0</v>
      </c>
      <c r="AS83" s="388">
        <f>AS13-CL13</f>
        <v>0</v>
      </c>
      <c r="AT83" s="388">
        <f>AT13-CM13</f>
        <v>0</v>
      </c>
      <c r="AU83" s="388">
        <f>AU13-CN13</f>
        <v>0</v>
      </c>
      <c r="AV83" s="388">
        <f>AV13-CO13</f>
        <v>-5831437</v>
      </c>
      <c r="AW83" s="388">
        <f>AW13-CP13</f>
        <v>0</v>
      </c>
      <c r="AX83" s="388">
        <f>AX13-CQ13</f>
        <v>0</v>
      </c>
      <c r="AY83" s="388">
        <f>AY13-CR13</f>
        <v>0</v>
      </c>
      <c r="AZ83" s="388">
        <f>AZ13-CS13</f>
        <v>0</v>
      </c>
      <c r="BA83" s="388">
        <f>BA13-CT13</f>
        <v>-16507763</v>
      </c>
      <c r="BB83" s="388">
        <f>BB13-CU13</f>
        <v>0</v>
      </c>
      <c r="BC83" s="388">
        <f>BC13-CV13</f>
        <v>0</v>
      </c>
      <c r="BD83" s="388">
        <f>BD13-CW13</f>
        <v>0</v>
      </c>
      <c r="BE83" s="388">
        <f>BE13-CX13</f>
        <v>0</v>
      </c>
      <c r="BF83" s="388">
        <f>BF13-CY13</f>
        <v>2450441</v>
      </c>
      <c r="BG83" s="388">
        <f>BG13-CZ13</f>
        <v>0</v>
      </c>
      <c r="BH83" s="388">
        <f>BH13-DA13</f>
        <v>0</v>
      </c>
      <c r="BI83" s="388">
        <f>BI13-DB13</f>
        <v>0</v>
      </c>
      <c r="BJ83" s="388">
        <f>BJ13-DC13</f>
        <v>0</v>
      </c>
      <c r="BK83" s="388">
        <f>BK13-DD13</f>
        <v>-11060175</v>
      </c>
      <c r="BL83" s="388">
        <f>BL13-DE13</f>
        <v>0</v>
      </c>
      <c r="BM83" s="388">
        <f>BM13-DF13</f>
        <v>0</v>
      </c>
      <c r="BN83" s="388" t="e">
        <f>BN13-#REF!</f>
        <v>#REF!</v>
      </c>
      <c r="BO83" s="388" t="e">
        <f>BO13-#REF!</f>
        <v>#REF!</v>
      </c>
      <c r="BP83" s="388" t="e">
        <f>BP13-#REF!</f>
        <v>#REF!</v>
      </c>
      <c r="BQ83" s="388" t="e">
        <f>BQ13-#REF!</f>
        <v>#REF!</v>
      </c>
      <c r="BR83" s="388" t="e">
        <f>BR13-#REF!</f>
        <v>#REF!</v>
      </c>
      <c r="BS83" s="388" t="e">
        <f>BS13-#REF!</f>
        <v>#REF!</v>
      </c>
      <c r="BT83" s="388" t="e">
        <f>BT13-#REF!</f>
        <v>#REF!</v>
      </c>
      <c r="BU83" s="388" t="e">
        <f>BU13-#REF!</f>
        <v>#REF!</v>
      </c>
      <c r="BV83" s="388"/>
      <c r="BW83" s="388" t="e">
        <f>SUM(O83:BR83)</f>
        <v>#REF!</v>
      </c>
      <c r="BX83" s="388"/>
      <c r="BY83" s="388"/>
      <c r="BZ83" s="388"/>
      <c r="CA83" s="388"/>
      <c r="CB83" s="388"/>
      <c r="CC83" s="388"/>
      <c r="CD83" s="388"/>
      <c r="CE83" s="388"/>
      <c r="CF83" s="388"/>
      <c r="CG83" s="388"/>
      <c r="CH83" s="388"/>
      <c r="CI83" s="388"/>
      <c r="CJ83" s="388"/>
      <c r="CK83" s="388"/>
      <c r="CL83" s="388"/>
      <c r="CM83" s="388"/>
      <c r="CN83" s="388"/>
      <c r="CO83" s="388"/>
      <c r="CP83" s="388"/>
      <c r="CQ83" s="388"/>
      <c r="CR83" s="388"/>
      <c r="CS83" s="388"/>
      <c r="CT83" s="388"/>
      <c r="CU83" s="388"/>
      <c r="CV83" s="388"/>
      <c r="CW83" s="388"/>
      <c r="CX83" s="388"/>
      <c r="CY83" s="388"/>
      <c r="CZ83" s="388"/>
      <c r="DA83" s="388"/>
      <c r="DB83" s="388"/>
      <c r="DC83" s="388"/>
      <c r="DD83" s="388"/>
      <c r="DE83" s="388"/>
      <c r="DF83" s="388"/>
      <c r="DG83" s="388"/>
    </row>
    <row r="84" spans="2:112" ht="15" hidden="1" customHeight="1" x14ac:dyDescent="0.3">
      <c r="B84" s="388"/>
      <c r="C84" s="460"/>
      <c r="D84" s="388"/>
      <c r="E84" s="388"/>
      <c r="F84" s="388"/>
      <c r="G84" s="388"/>
      <c r="H84" s="461"/>
      <c r="I84" s="388"/>
      <c r="J84" s="388"/>
      <c r="K84" s="388"/>
      <c r="L84" s="388"/>
      <c r="M84" s="388" t="e">
        <f>M14-#REF!</f>
        <v>#REF!</v>
      </c>
      <c r="N84" s="388" t="e">
        <f>N14-#REF!</f>
        <v>#REF!</v>
      </c>
      <c r="O84" s="388" t="e">
        <f>O14-#REF!</f>
        <v>#REF!</v>
      </c>
      <c r="P84" s="388" t="e">
        <f>P14-#REF!</f>
        <v>#REF!</v>
      </c>
      <c r="Q84" s="388" t="e">
        <f>Q14-#REF!</f>
        <v>#REF!</v>
      </c>
      <c r="R84" s="388" t="e">
        <f>R14-#REF!</f>
        <v>#REF!</v>
      </c>
      <c r="S84" s="388" t="e">
        <f>S14-#REF!</f>
        <v>#REF!</v>
      </c>
      <c r="T84" s="388" t="e">
        <f>T14-#REF!</f>
        <v>#REF!</v>
      </c>
      <c r="U84" s="388" t="e">
        <f>U14-#REF!</f>
        <v>#REF!</v>
      </c>
      <c r="V84" s="388" t="e">
        <f>V14-#REF!</f>
        <v>#REF!</v>
      </c>
      <c r="W84" s="388" t="e">
        <f>W14-#REF!</f>
        <v>#REF!</v>
      </c>
      <c r="X84" s="388" t="e">
        <f>X14-#REF!</f>
        <v>#REF!</v>
      </c>
      <c r="Y84" s="388" t="e">
        <f>Y14-#REF!</f>
        <v>#REF!</v>
      </c>
      <c r="Z84" s="388" t="e">
        <f>Z14-#REF!</f>
        <v>#REF!</v>
      </c>
      <c r="AA84" s="388" t="e">
        <f>AA14-#REF!</f>
        <v>#REF!</v>
      </c>
      <c r="AB84" s="388" t="e">
        <f>AB14-#REF!</f>
        <v>#REF!</v>
      </c>
      <c r="AC84" s="388" t="e">
        <f>AC14-#REF!</f>
        <v>#REF!</v>
      </c>
      <c r="AD84" s="388" t="e">
        <f>AD14-#REF!</f>
        <v>#REF!</v>
      </c>
      <c r="AE84" s="388">
        <f>AE14-BX14</f>
        <v>0</v>
      </c>
      <c r="AF84" s="388">
        <f>AF14-BY14</f>
        <v>0</v>
      </c>
      <c r="AG84" s="388">
        <f>AG14-BZ14</f>
        <v>5854400</v>
      </c>
      <c r="AH84" s="388">
        <f>AH14-CA14</f>
        <v>0</v>
      </c>
      <c r="AI84" s="388">
        <f>AI14-CB14</f>
        <v>0</v>
      </c>
      <c r="AJ84" s="388">
        <f>AJ14-CC14</f>
        <v>0</v>
      </c>
      <c r="AK84" s="388">
        <f>AK14-CD14</f>
        <v>0</v>
      </c>
      <c r="AL84" s="388">
        <f>AL14-CE14</f>
        <v>9990150</v>
      </c>
      <c r="AM84" s="388">
        <f>AM14-CF14</f>
        <v>0</v>
      </c>
      <c r="AN84" s="388">
        <f>AN14-CG14</f>
        <v>0</v>
      </c>
      <c r="AO84" s="388">
        <f>AO14-CH14</f>
        <v>0</v>
      </c>
      <c r="AP84" s="388">
        <f>AP14-CI14</f>
        <v>0</v>
      </c>
      <c r="AQ84" s="388">
        <f>AQ14-CJ14</f>
        <v>8518070</v>
      </c>
      <c r="AR84" s="388">
        <f>AR14-CK14</f>
        <v>0</v>
      </c>
      <c r="AS84" s="388">
        <f>AS14-CL14</f>
        <v>0</v>
      </c>
      <c r="AT84" s="388">
        <f>AT14-CM14</f>
        <v>0</v>
      </c>
      <c r="AU84" s="388">
        <f>AU14-CN14</f>
        <v>0</v>
      </c>
      <c r="AV84" s="388">
        <f>AV14-CO14</f>
        <v>8214730</v>
      </c>
      <c r="AW84" s="388">
        <f>AW14-CP14</f>
        <v>0</v>
      </c>
      <c r="AX84" s="388">
        <f>AX14-CQ14</f>
        <v>0</v>
      </c>
      <c r="AY84" s="388">
        <f>AY14-CR14</f>
        <v>0</v>
      </c>
      <c r="AZ84" s="388">
        <f>AZ14-CS14</f>
        <v>0</v>
      </c>
      <c r="BA84" s="388">
        <f>BA14-CT14</f>
        <v>6729470</v>
      </c>
      <c r="BB84" s="388">
        <f>BB14-CU14</f>
        <v>0</v>
      </c>
      <c r="BC84" s="388">
        <f>BC14-CV14</f>
        <v>0</v>
      </c>
      <c r="BD84" s="388">
        <f>BD14-CW14</f>
        <v>0</v>
      </c>
      <c r="BE84" s="388">
        <f>BE14-CX14</f>
        <v>0</v>
      </c>
      <c r="BF84" s="388">
        <f>BF14-CY14</f>
        <v>16435590</v>
      </c>
      <c r="BG84" s="388">
        <f>BG14-CZ14</f>
        <v>0</v>
      </c>
      <c r="BH84" s="388">
        <f>BH14-DA14</f>
        <v>0</v>
      </c>
      <c r="BI84" s="388">
        <f>BI14-DB14</f>
        <v>0</v>
      </c>
      <c r="BJ84" s="388">
        <f>BJ14-DC14</f>
        <v>0</v>
      </c>
      <c r="BK84" s="388">
        <f>BK14-DD14</f>
        <v>19026440</v>
      </c>
      <c r="BL84" s="388">
        <f>BL14-DE14</f>
        <v>0</v>
      </c>
      <c r="BM84" s="388">
        <f>BM14-DF14</f>
        <v>0</v>
      </c>
      <c r="BN84" s="388" t="e">
        <f>BN14-#REF!</f>
        <v>#REF!</v>
      </c>
      <c r="BO84" s="388" t="e">
        <f>BO14-#REF!</f>
        <v>#REF!</v>
      </c>
      <c r="BP84" s="388" t="e">
        <f>BP14-#REF!</f>
        <v>#REF!</v>
      </c>
      <c r="BQ84" s="388" t="e">
        <f>BQ14-#REF!</f>
        <v>#REF!</v>
      </c>
      <c r="BR84" s="388" t="e">
        <f>BR14-#REF!</f>
        <v>#REF!</v>
      </c>
      <c r="BS84" s="388" t="e">
        <f>BS14-#REF!</f>
        <v>#REF!</v>
      </c>
      <c r="BT84" s="388" t="e">
        <f>BT14-#REF!</f>
        <v>#REF!</v>
      </c>
      <c r="BU84" s="388" t="e">
        <f>BU14-#REF!</f>
        <v>#REF!</v>
      </c>
      <c r="BV84" s="388"/>
      <c r="BW84" s="388" t="e">
        <f>SUM(O84:BR84)</f>
        <v>#REF!</v>
      </c>
      <c r="BX84" s="388"/>
      <c r="BY84" s="388"/>
      <c r="BZ84" s="388"/>
      <c r="CA84" s="388"/>
      <c r="CB84" s="388"/>
      <c r="CC84" s="388"/>
      <c r="CD84" s="388"/>
      <c r="CE84" s="388"/>
      <c r="CF84" s="388"/>
      <c r="CG84" s="388"/>
      <c r="CH84" s="388"/>
      <c r="CI84" s="388"/>
      <c r="CJ84" s="388"/>
      <c r="CK84" s="388"/>
      <c r="CL84" s="388"/>
      <c r="CM84" s="388"/>
      <c r="CN84" s="388"/>
      <c r="CO84" s="388"/>
      <c r="CP84" s="388"/>
      <c r="CQ84" s="388"/>
      <c r="CR84" s="388"/>
      <c r="CS84" s="388"/>
      <c r="CT84" s="388"/>
      <c r="CU84" s="388"/>
      <c r="CV84" s="388"/>
      <c r="CW84" s="388"/>
      <c r="CX84" s="388"/>
      <c r="CY84" s="388"/>
      <c r="CZ84" s="388"/>
      <c r="DA84" s="388"/>
      <c r="DB84" s="388"/>
      <c r="DC84" s="388"/>
      <c r="DD84" s="388"/>
      <c r="DE84" s="388"/>
      <c r="DF84" s="388"/>
      <c r="DG84" s="388"/>
    </row>
    <row r="85" spans="2:112" ht="15" hidden="1" customHeight="1" x14ac:dyDescent="0.3">
      <c r="B85" s="388"/>
      <c r="C85" s="388"/>
      <c r="D85" s="388"/>
      <c r="E85" s="388"/>
      <c r="F85" s="388"/>
      <c r="G85" s="388"/>
      <c r="H85" s="388"/>
      <c r="I85" s="388"/>
      <c r="J85" s="388"/>
      <c r="K85" s="388"/>
      <c r="L85" s="388"/>
      <c r="M85" s="388" t="e">
        <f>M15-#REF!</f>
        <v>#REF!</v>
      </c>
      <c r="N85" s="388" t="e">
        <f>N15-#REF!</f>
        <v>#REF!</v>
      </c>
      <c r="O85" s="388" t="e">
        <f>O15-#REF!</f>
        <v>#REF!</v>
      </c>
      <c r="P85" s="388" t="e">
        <f>P15-#REF!</f>
        <v>#REF!</v>
      </c>
      <c r="Q85" s="388" t="e">
        <f>Q15-#REF!</f>
        <v>#REF!</v>
      </c>
      <c r="R85" s="388" t="e">
        <f>R15-#REF!</f>
        <v>#REF!</v>
      </c>
      <c r="S85" s="388" t="e">
        <f>S15-#REF!</f>
        <v>#REF!</v>
      </c>
      <c r="T85" s="388" t="e">
        <f>T15-#REF!</f>
        <v>#REF!</v>
      </c>
      <c r="U85" s="388" t="e">
        <f>U15-#REF!</f>
        <v>#REF!</v>
      </c>
      <c r="V85" s="388" t="e">
        <f>V15-#REF!</f>
        <v>#REF!</v>
      </c>
      <c r="W85" s="388" t="e">
        <f>W15-#REF!</f>
        <v>#REF!</v>
      </c>
      <c r="X85" s="388" t="e">
        <f>X15-#REF!</f>
        <v>#REF!</v>
      </c>
      <c r="Y85" s="388" t="e">
        <f>Y15-#REF!</f>
        <v>#REF!</v>
      </c>
      <c r="Z85" s="388" t="e">
        <f>Z15-#REF!</f>
        <v>#REF!</v>
      </c>
      <c r="AA85" s="388" t="e">
        <f>AA15-#REF!</f>
        <v>#REF!</v>
      </c>
      <c r="AB85" s="388" t="e">
        <f>AB15-#REF!</f>
        <v>#REF!</v>
      </c>
      <c r="AC85" s="388" t="e">
        <f>AC15-#REF!</f>
        <v>#REF!</v>
      </c>
      <c r="AD85" s="388" t="e">
        <f>AD15-#REF!</f>
        <v>#REF!</v>
      </c>
      <c r="AE85" s="388">
        <f>AE15-BX15</f>
        <v>0</v>
      </c>
      <c r="AF85" s="388">
        <f>AF15-BY15</f>
        <v>0</v>
      </c>
      <c r="AG85" s="388">
        <f>AG15-BZ15</f>
        <v>0</v>
      </c>
      <c r="AH85" s="388">
        <f>AH15-CA15</f>
        <v>0</v>
      </c>
      <c r="AI85" s="388">
        <f>AI15-CB15</f>
        <v>0</v>
      </c>
      <c r="AJ85" s="388">
        <f>AJ15-CC15</f>
        <v>0</v>
      </c>
      <c r="AK85" s="388">
        <f>AK15-CD15</f>
        <v>0</v>
      </c>
      <c r="AL85" s="388">
        <f>AL15-CE15</f>
        <v>0</v>
      </c>
      <c r="AM85" s="388">
        <f>AM15-CF15</f>
        <v>0</v>
      </c>
      <c r="AN85" s="388">
        <f>AN15-CG15</f>
        <v>0</v>
      </c>
      <c r="AO85" s="388">
        <f>AO15-CH15</f>
        <v>0</v>
      </c>
      <c r="AP85" s="388">
        <f>AP15-CI15</f>
        <v>0</v>
      </c>
      <c r="AQ85" s="388">
        <f>AQ15-CJ15</f>
        <v>0</v>
      </c>
      <c r="AR85" s="388">
        <f>AR15-CK15</f>
        <v>0</v>
      </c>
      <c r="AS85" s="388">
        <f>AS15-CL15</f>
        <v>0</v>
      </c>
      <c r="AT85" s="388">
        <f>AT15-CM15</f>
        <v>0</v>
      </c>
      <c r="AU85" s="388">
        <f>AU15-CN15</f>
        <v>0</v>
      </c>
      <c r="AV85" s="388">
        <f>AV15-CO15</f>
        <v>0</v>
      </c>
      <c r="AW85" s="388">
        <f>AW15-CP15</f>
        <v>0</v>
      </c>
      <c r="AX85" s="388">
        <f>AX15-CQ15</f>
        <v>0</v>
      </c>
      <c r="AY85" s="388">
        <f>AY15-CR15</f>
        <v>0</v>
      </c>
      <c r="AZ85" s="388">
        <f>AZ15-CS15</f>
        <v>0</v>
      </c>
      <c r="BA85" s="388">
        <f>BA15-CT15</f>
        <v>0</v>
      </c>
      <c r="BB85" s="388">
        <f>BB15-CU15</f>
        <v>0</v>
      </c>
      <c r="BC85" s="388">
        <f>BC15-CV15</f>
        <v>0</v>
      </c>
      <c r="BD85" s="388">
        <f>BD15-CW15</f>
        <v>0</v>
      </c>
      <c r="BE85" s="388">
        <f>BE15-CX15</f>
        <v>0</v>
      </c>
      <c r="BF85" s="388">
        <f>BF15-CY15</f>
        <v>0</v>
      </c>
      <c r="BG85" s="388">
        <f>BG15-CZ15</f>
        <v>0</v>
      </c>
      <c r="BH85" s="388">
        <f>BH15-DA15</f>
        <v>0</v>
      </c>
      <c r="BI85" s="388">
        <f>BI15-DB15</f>
        <v>0</v>
      </c>
      <c r="BJ85" s="388">
        <f>BJ15-DC15</f>
        <v>0</v>
      </c>
      <c r="BK85" s="388">
        <f>BK15-DD15</f>
        <v>0</v>
      </c>
      <c r="BL85" s="388">
        <f>BL15-DE15</f>
        <v>0</v>
      </c>
      <c r="BM85" s="388">
        <f>BM15-DF15</f>
        <v>0</v>
      </c>
      <c r="BN85" s="388" t="e">
        <f>BN15-#REF!</f>
        <v>#REF!</v>
      </c>
      <c r="BO85" s="388" t="e">
        <f>BO15-#REF!</f>
        <v>#REF!</v>
      </c>
      <c r="BP85" s="388" t="e">
        <f>BP15-#REF!</f>
        <v>#REF!</v>
      </c>
      <c r="BQ85" s="388" t="e">
        <f>BQ15-#REF!</f>
        <v>#REF!</v>
      </c>
      <c r="BR85" s="388" t="e">
        <f>BR15-#REF!</f>
        <v>#REF!</v>
      </c>
      <c r="BS85" s="388" t="e">
        <f>BS15-#REF!</f>
        <v>#REF!</v>
      </c>
      <c r="BT85" s="388" t="e">
        <f>BT15-#REF!</f>
        <v>#REF!</v>
      </c>
      <c r="BU85" s="388" t="e">
        <f>BU15-#REF!</f>
        <v>#REF!</v>
      </c>
      <c r="BV85" s="388"/>
      <c r="BW85" s="388" t="e">
        <f>SUM(O85:BR85)</f>
        <v>#REF!</v>
      </c>
      <c r="BX85" s="388"/>
      <c r="BY85" s="388"/>
      <c r="BZ85" s="388"/>
      <c r="CA85" s="388"/>
      <c r="CB85" s="388"/>
      <c r="CC85" s="388"/>
      <c r="CD85" s="388"/>
      <c r="CE85" s="388"/>
      <c r="CF85" s="388"/>
      <c r="CG85" s="388"/>
      <c r="CH85" s="388"/>
      <c r="CI85" s="388"/>
      <c r="CJ85" s="388"/>
      <c r="CK85" s="388"/>
      <c r="CL85" s="388"/>
      <c r="CM85" s="388"/>
      <c r="CN85" s="388"/>
      <c r="CO85" s="388"/>
      <c r="CP85" s="388"/>
      <c r="CQ85" s="388"/>
      <c r="CR85" s="388"/>
      <c r="CS85" s="388"/>
      <c r="CT85" s="388"/>
      <c r="CU85" s="388"/>
      <c r="CV85" s="388"/>
      <c r="CW85" s="388"/>
      <c r="CX85" s="388"/>
      <c r="CY85" s="388"/>
      <c r="CZ85" s="388"/>
      <c r="DA85" s="388"/>
      <c r="DB85" s="388"/>
      <c r="DC85" s="388"/>
      <c r="DD85" s="388"/>
      <c r="DE85" s="388"/>
      <c r="DF85" s="388"/>
      <c r="DG85" s="388"/>
    </row>
    <row r="86" spans="2:112" ht="15" hidden="1" customHeight="1" x14ac:dyDescent="0.3">
      <c r="B86" s="388"/>
      <c r="C86" s="388"/>
      <c r="D86" s="388"/>
      <c r="E86" s="388"/>
      <c r="F86" s="388"/>
      <c r="G86" s="388"/>
      <c r="H86" s="388"/>
      <c r="I86" s="388"/>
      <c r="J86" s="388"/>
      <c r="K86" s="388"/>
      <c r="L86" s="388"/>
      <c r="M86" s="388" t="e">
        <f>M16-#REF!</f>
        <v>#REF!</v>
      </c>
      <c r="N86" s="388" t="e">
        <f>N16-#REF!</f>
        <v>#REF!</v>
      </c>
      <c r="O86" s="388" t="e">
        <f>O16-#REF!</f>
        <v>#REF!</v>
      </c>
      <c r="P86" s="388" t="e">
        <f>P16-#REF!</f>
        <v>#REF!</v>
      </c>
      <c r="Q86" s="388" t="e">
        <f>Q16-#REF!</f>
        <v>#REF!</v>
      </c>
      <c r="R86" s="388" t="e">
        <f>R16-#REF!</f>
        <v>#REF!</v>
      </c>
      <c r="S86" s="388" t="e">
        <f>S16-#REF!</f>
        <v>#REF!</v>
      </c>
      <c r="T86" s="388" t="e">
        <f>T16-#REF!</f>
        <v>#REF!</v>
      </c>
      <c r="U86" s="388" t="e">
        <f>U16-#REF!</f>
        <v>#REF!</v>
      </c>
      <c r="V86" s="388" t="e">
        <f>V16-#REF!</f>
        <v>#REF!</v>
      </c>
      <c r="W86" s="388" t="e">
        <f>W16-#REF!</f>
        <v>#REF!</v>
      </c>
      <c r="X86" s="388" t="e">
        <f>X16-#REF!</f>
        <v>#REF!</v>
      </c>
      <c r="Y86" s="388" t="e">
        <f>Y16-#REF!</f>
        <v>#REF!</v>
      </c>
      <c r="Z86" s="388" t="e">
        <f>Z16-#REF!</f>
        <v>#REF!</v>
      </c>
      <c r="AA86" s="388" t="e">
        <f>AA16-#REF!</f>
        <v>#REF!</v>
      </c>
      <c r="AB86" s="388" t="e">
        <f>AB16-#REF!</f>
        <v>#REF!</v>
      </c>
      <c r="AC86" s="388" t="e">
        <f>AC16-#REF!</f>
        <v>#REF!</v>
      </c>
      <c r="AD86" s="388" t="e">
        <f>AD16-#REF!</f>
        <v>#REF!</v>
      </c>
      <c r="AE86" s="388">
        <f>AE16-BX16</f>
        <v>0</v>
      </c>
      <c r="AF86" s="388">
        <f>AF16-BY16</f>
        <v>0</v>
      </c>
      <c r="AG86" s="388">
        <f>AG16-BZ16</f>
        <v>-1677100</v>
      </c>
      <c r="AH86" s="388">
        <f>AH16-CA16</f>
        <v>0</v>
      </c>
      <c r="AI86" s="388">
        <f>AI16-CB16</f>
        <v>0</v>
      </c>
      <c r="AJ86" s="388">
        <f>AJ16-CC16</f>
        <v>0</v>
      </c>
      <c r="AK86" s="388">
        <f>AK16-CD16</f>
        <v>0</v>
      </c>
      <c r="AL86" s="388">
        <f>AL16-CE16</f>
        <v>-3776600</v>
      </c>
      <c r="AM86" s="388">
        <f>AM16-CF16</f>
        <v>0</v>
      </c>
      <c r="AN86" s="388">
        <f>AN16-CG16</f>
        <v>0</v>
      </c>
      <c r="AO86" s="388">
        <f>AO16-CH16</f>
        <v>0</v>
      </c>
      <c r="AP86" s="388">
        <f>AP16-CI16</f>
        <v>0</v>
      </c>
      <c r="AQ86" s="388">
        <f>AQ16-CJ16</f>
        <v>4027370</v>
      </c>
      <c r="AR86" s="388">
        <f>AR16-CK16</f>
        <v>0</v>
      </c>
      <c r="AS86" s="388">
        <f>AS16-CL16</f>
        <v>0</v>
      </c>
      <c r="AT86" s="388">
        <f>AT16-CM16</f>
        <v>0</v>
      </c>
      <c r="AU86" s="388">
        <f>AU16-CN16</f>
        <v>0</v>
      </c>
      <c r="AV86" s="388">
        <f>AV16-CO16</f>
        <v>360230</v>
      </c>
      <c r="AW86" s="388">
        <f>AW16-CP16</f>
        <v>0</v>
      </c>
      <c r="AX86" s="388">
        <f>AX16-CQ16</f>
        <v>0</v>
      </c>
      <c r="AY86" s="388">
        <f>AY16-CR16</f>
        <v>0</v>
      </c>
      <c r="AZ86" s="388">
        <f>AZ16-CS16</f>
        <v>0</v>
      </c>
      <c r="BA86" s="388">
        <f>BA16-CT16</f>
        <v>4470810</v>
      </c>
      <c r="BB86" s="388">
        <f>BB16-CU16</f>
        <v>0</v>
      </c>
      <c r="BC86" s="388">
        <f>BC16-CV16</f>
        <v>0</v>
      </c>
      <c r="BD86" s="388">
        <f>BD16-CW16</f>
        <v>0</v>
      </c>
      <c r="BE86" s="388">
        <f>BE16-CX16</f>
        <v>0</v>
      </c>
      <c r="BF86" s="388">
        <f>BF16-CY16</f>
        <v>4049500</v>
      </c>
      <c r="BG86" s="388">
        <f>BG16-CZ16</f>
        <v>0</v>
      </c>
      <c r="BH86" s="388">
        <f>BH16-DA16</f>
        <v>0</v>
      </c>
      <c r="BI86" s="388">
        <f>BI16-DB16</f>
        <v>0</v>
      </c>
      <c r="BJ86" s="388">
        <f>BJ16-DC16</f>
        <v>0</v>
      </c>
      <c r="BK86" s="388">
        <f>BK16-DD16</f>
        <v>6072340</v>
      </c>
      <c r="BL86" s="388">
        <f>BL16-DE16</f>
        <v>0</v>
      </c>
      <c r="BM86" s="388">
        <f>BM16-DF16</f>
        <v>0</v>
      </c>
      <c r="BN86" s="388" t="e">
        <f>BN16-#REF!</f>
        <v>#REF!</v>
      </c>
      <c r="BO86" s="388" t="e">
        <f>BO16-#REF!</f>
        <v>#REF!</v>
      </c>
      <c r="BP86" s="388" t="e">
        <f>BP16-#REF!</f>
        <v>#REF!</v>
      </c>
      <c r="BQ86" s="388" t="e">
        <f>BQ16-#REF!</f>
        <v>#REF!</v>
      </c>
      <c r="BR86" s="388" t="e">
        <f>BR16-#REF!</f>
        <v>#REF!</v>
      </c>
      <c r="BS86" s="388" t="e">
        <f>BS16-#REF!</f>
        <v>#REF!</v>
      </c>
      <c r="BT86" s="388" t="e">
        <f>BT16-#REF!</f>
        <v>#REF!</v>
      </c>
      <c r="BU86" s="388" t="e">
        <f>BU16-#REF!</f>
        <v>#REF!</v>
      </c>
      <c r="BV86" s="388"/>
      <c r="BW86" s="388"/>
      <c r="BX86" s="388"/>
      <c r="BY86" s="388"/>
      <c r="BZ86" s="388"/>
      <c r="CA86" s="388"/>
      <c r="CB86" s="388"/>
      <c r="CC86" s="388"/>
      <c r="CD86" s="388"/>
      <c r="CE86" s="388"/>
      <c r="CF86" s="388"/>
      <c r="CG86" s="388"/>
      <c r="CH86" s="388"/>
      <c r="CI86" s="388"/>
      <c r="CJ86" s="388"/>
      <c r="CK86" s="388"/>
      <c r="CL86" s="388"/>
      <c r="CM86" s="388"/>
      <c r="CN86" s="388"/>
      <c r="CO86" s="388"/>
      <c r="CP86" s="388"/>
      <c r="CQ86" s="388"/>
      <c r="CR86" s="388"/>
      <c r="CS86" s="388"/>
      <c r="CT86" s="388"/>
      <c r="CU86" s="388"/>
      <c r="CV86" s="388"/>
      <c r="CW86" s="388"/>
      <c r="CX86" s="388"/>
      <c r="CY86" s="388"/>
      <c r="CZ86" s="388"/>
      <c r="DA86" s="388"/>
      <c r="DB86" s="388"/>
      <c r="DC86" s="388"/>
      <c r="DD86" s="388"/>
      <c r="DE86" s="388"/>
      <c r="DF86" s="388"/>
      <c r="DG86" s="388"/>
    </row>
    <row r="87" spans="2:112" ht="15" hidden="1" customHeight="1" x14ac:dyDescent="0.3">
      <c r="B87" s="388"/>
      <c r="C87" s="388"/>
      <c r="D87" s="388"/>
      <c r="E87" s="388"/>
      <c r="F87" s="388"/>
      <c r="G87" s="388"/>
      <c r="H87" s="388"/>
      <c r="I87" s="388"/>
      <c r="J87" s="388"/>
      <c r="K87" s="388"/>
      <c r="L87" s="388"/>
      <c r="M87" s="388" t="e">
        <f>M17-#REF!</f>
        <v>#REF!</v>
      </c>
      <c r="N87" s="388" t="e">
        <f>N17-#REF!</f>
        <v>#REF!</v>
      </c>
      <c r="O87" s="388" t="e">
        <f>O17-#REF!</f>
        <v>#REF!</v>
      </c>
      <c r="P87" s="388" t="e">
        <f>P17-#REF!</f>
        <v>#REF!</v>
      </c>
      <c r="Q87" s="388" t="e">
        <f>Q17-#REF!</f>
        <v>#REF!</v>
      </c>
      <c r="R87" s="388" t="e">
        <f>R17-#REF!</f>
        <v>#REF!</v>
      </c>
      <c r="S87" s="388" t="e">
        <f>S17-#REF!</f>
        <v>#REF!</v>
      </c>
      <c r="T87" s="388" t="e">
        <f>T17-#REF!</f>
        <v>#REF!</v>
      </c>
      <c r="U87" s="388" t="e">
        <f>U17-#REF!</f>
        <v>#REF!</v>
      </c>
      <c r="V87" s="388" t="e">
        <f>V17-#REF!</f>
        <v>#REF!</v>
      </c>
      <c r="W87" s="388" t="e">
        <f>W17-#REF!</f>
        <v>#REF!</v>
      </c>
      <c r="X87" s="388" t="e">
        <f>X17-#REF!</f>
        <v>#REF!</v>
      </c>
      <c r="Y87" s="388" t="e">
        <f>Y17-#REF!</f>
        <v>#REF!</v>
      </c>
      <c r="Z87" s="388" t="e">
        <f>Z17-#REF!</f>
        <v>#REF!</v>
      </c>
      <c r="AA87" s="388" t="e">
        <f>AA17-#REF!</f>
        <v>#REF!</v>
      </c>
      <c r="AB87" s="388" t="e">
        <f>AB17-#REF!</f>
        <v>#REF!</v>
      </c>
      <c r="AC87" s="388" t="e">
        <f>AC17-#REF!</f>
        <v>#REF!</v>
      </c>
      <c r="AD87" s="388" t="e">
        <f>AD17-#REF!</f>
        <v>#REF!</v>
      </c>
      <c r="AE87" s="388">
        <f>AE17-BX17</f>
        <v>0</v>
      </c>
      <c r="AF87" s="388">
        <f>AF17-BY17</f>
        <v>0</v>
      </c>
      <c r="AG87" s="388">
        <f>AG17-BZ17</f>
        <v>3335000</v>
      </c>
      <c r="AH87" s="388">
        <f>AH17-CA17</f>
        <v>0</v>
      </c>
      <c r="AI87" s="388">
        <f>AI17-CB17</f>
        <v>0</v>
      </c>
      <c r="AJ87" s="388">
        <f>AJ17-CC17</f>
        <v>0</v>
      </c>
      <c r="AK87" s="388">
        <f>AK17-CD17</f>
        <v>0</v>
      </c>
      <c r="AL87" s="388">
        <f>AL17-CE17</f>
        <v>2609950</v>
      </c>
      <c r="AM87" s="388">
        <f>AM17-CF17</f>
        <v>0</v>
      </c>
      <c r="AN87" s="388">
        <f>AN17-CG17</f>
        <v>0</v>
      </c>
      <c r="AO87" s="388">
        <f>AO17-CH17</f>
        <v>0</v>
      </c>
      <c r="AP87" s="388">
        <f>AP17-CI17</f>
        <v>0</v>
      </c>
      <c r="AQ87" s="388">
        <f>AQ17-CJ17</f>
        <v>-18300</v>
      </c>
      <c r="AR87" s="388">
        <f>AR17-CK17</f>
        <v>0</v>
      </c>
      <c r="AS87" s="388">
        <f>AS17-CL17</f>
        <v>0</v>
      </c>
      <c r="AT87" s="388">
        <f>AT17-CM17</f>
        <v>0</v>
      </c>
      <c r="AU87" s="388">
        <f>AU17-CN17</f>
        <v>0</v>
      </c>
      <c r="AV87" s="388">
        <f>AV17-CO17</f>
        <v>1443300</v>
      </c>
      <c r="AW87" s="388">
        <f>AW17-CP17</f>
        <v>0</v>
      </c>
      <c r="AX87" s="388">
        <f>AX17-CQ17</f>
        <v>0</v>
      </c>
      <c r="AY87" s="388">
        <f>AY17-CR17</f>
        <v>0</v>
      </c>
      <c r="AZ87" s="388">
        <f>AZ17-CS17</f>
        <v>0</v>
      </c>
      <c r="BA87" s="388">
        <f>BA17-CT17</f>
        <v>-4986500</v>
      </c>
      <c r="BB87" s="388">
        <f>BB17-CU17</f>
        <v>0</v>
      </c>
      <c r="BC87" s="388">
        <f>BC17-CV17</f>
        <v>0</v>
      </c>
      <c r="BD87" s="388">
        <f>BD17-CW17</f>
        <v>0</v>
      </c>
      <c r="BE87" s="388">
        <f>BE17-CX17</f>
        <v>0</v>
      </c>
      <c r="BF87" s="388">
        <f>BF17-CY17</f>
        <v>287500</v>
      </c>
      <c r="BG87" s="388">
        <f>BG17-CZ17</f>
        <v>0</v>
      </c>
      <c r="BH87" s="388">
        <f>BH17-DA17</f>
        <v>0</v>
      </c>
      <c r="BI87" s="388">
        <f>BI17-DB17</f>
        <v>0</v>
      </c>
      <c r="BJ87" s="388">
        <f>BJ17-DC17</f>
        <v>0</v>
      </c>
      <c r="BK87" s="388" t="e">
        <f>BK17-DD17</f>
        <v>#VALUE!</v>
      </c>
      <c r="BL87" s="388">
        <f>BL17-DE17</f>
        <v>0</v>
      </c>
      <c r="BM87" s="388">
        <f>BM17-DF17</f>
        <v>0</v>
      </c>
      <c r="BN87" s="388" t="e">
        <f>BN17-#REF!</f>
        <v>#REF!</v>
      </c>
      <c r="BO87" s="388" t="e">
        <f>BO17-#REF!</f>
        <v>#REF!</v>
      </c>
      <c r="BP87" s="388" t="e">
        <f>BP17-#REF!</f>
        <v>#REF!</v>
      </c>
      <c r="BQ87" s="388" t="e">
        <f>BQ17-#REF!</f>
        <v>#REF!</v>
      </c>
      <c r="BR87" s="388" t="e">
        <f>BR17-#REF!</f>
        <v>#REF!</v>
      </c>
      <c r="BS87" s="388" t="e">
        <f>BS17-#REF!</f>
        <v>#REF!</v>
      </c>
      <c r="BT87" s="388" t="e">
        <f>BT17-#REF!</f>
        <v>#REF!</v>
      </c>
      <c r="BU87" s="388" t="e">
        <f>BU17-#REF!</f>
        <v>#REF!</v>
      </c>
      <c r="BV87" s="388"/>
      <c r="BW87" s="388"/>
      <c r="BX87" s="388"/>
      <c r="BY87" s="388"/>
      <c r="BZ87" s="388"/>
      <c r="CA87" s="388"/>
      <c r="CB87" s="388"/>
      <c r="CC87" s="388"/>
      <c r="CD87" s="388"/>
      <c r="CE87" s="388"/>
      <c r="CF87" s="388"/>
      <c r="CG87" s="388"/>
      <c r="CH87" s="388"/>
      <c r="CI87" s="388"/>
      <c r="CJ87" s="388"/>
      <c r="CK87" s="388"/>
      <c r="CL87" s="388"/>
      <c r="CM87" s="388"/>
      <c r="CN87" s="388"/>
      <c r="CO87" s="388"/>
      <c r="CP87" s="388"/>
      <c r="CQ87" s="388"/>
      <c r="CR87" s="388"/>
      <c r="CS87" s="388"/>
      <c r="CT87" s="388"/>
      <c r="CU87" s="388"/>
      <c r="CV87" s="388"/>
      <c r="CW87" s="388"/>
      <c r="CX87" s="388"/>
      <c r="CY87" s="388"/>
      <c r="CZ87" s="388"/>
      <c r="DA87" s="388"/>
      <c r="DB87" s="388"/>
      <c r="DC87" s="388"/>
      <c r="DD87" s="388"/>
      <c r="DE87" s="388"/>
      <c r="DF87" s="388"/>
      <c r="DG87" s="388"/>
    </row>
    <row r="88" spans="2:112" hidden="1" x14ac:dyDescent="0.3">
      <c r="M88" s="388" t="e">
        <f>M18-#REF!</f>
        <v>#REF!</v>
      </c>
      <c r="N88" s="388" t="e">
        <f>N18-#REF!</f>
        <v>#REF!</v>
      </c>
      <c r="O88" s="388" t="e">
        <f>O18-#REF!</f>
        <v>#REF!</v>
      </c>
      <c r="P88" s="388" t="e">
        <f>P18-#REF!</f>
        <v>#REF!</v>
      </c>
      <c r="Q88" s="388" t="e">
        <f>Q18-#REF!</f>
        <v>#REF!</v>
      </c>
      <c r="R88" s="388" t="e">
        <f>R18-#REF!</f>
        <v>#REF!</v>
      </c>
      <c r="S88" s="388" t="e">
        <f>S18-#REF!</f>
        <v>#REF!</v>
      </c>
      <c r="T88" s="388" t="e">
        <f>T18-#REF!</f>
        <v>#REF!</v>
      </c>
      <c r="U88" s="388" t="e">
        <f>U18-#REF!</f>
        <v>#REF!</v>
      </c>
      <c r="V88" s="388" t="e">
        <f>V18-#REF!</f>
        <v>#REF!</v>
      </c>
      <c r="W88" s="388" t="e">
        <f>W18-#REF!</f>
        <v>#REF!</v>
      </c>
      <c r="X88" s="388" t="e">
        <f>X18-#REF!</f>
        <v>#REF!</v>
      </c>
      <c r="Y88" s="388" t="e">
        <f>Y18-#REF!</f>
        <v>#REF!</v>
      </c>
      <c r="Z88" s="388" t="e">
        <f>Z18-#REF!</f>
        <v>#REF!</v>
      </c>
      <c r="AA88" s="388" t="e">
        <f>AA18-#REF!</f>
        <v>#REF!</v>
      </c>
      <c r="AB88" s="388" t="e">
        <f>AB18-#REF!</f>
        <v>#REF!</v>
      </c>
      <c r="AC88" s="388" t="e">
        <f>AC18-#REF!</f>
        <v>#REF!</v>
      </c>
      <c r="AD88" s="388" t="e">
        <f>AD18-#REF!</f>
        <v>#REF!</v>
      </c>
      <c r="AE88" s="388">
        <f>AE18-BX18</f>
        <v>0</v>
      </c>
      <c r="AF88" s="388">
        <f>AF18-BY18</f>
        <v>0</v>
      </c>
      <c r="AG88" s="388">
        <f>AG18-BZ18</f>
        <v>2607500</v>
      </c>
      <c r="AH88" s="388">
        <f>AH18-CA18</f>
        <v>0</v>
      </c>
      <c r="AI88" s="388">
        <f>AI18-CB18</f>
        <v>0</v>
      </c>
      <c r="AJ88" s="388">
        <f>AJ18-CC18</f>
        <v>0</v>
      </c>
      <c r="AK88" s="388">
        <f>AK18-CD18</f>
        <v>0</v>
      </c>
      <c r="AL88" s="388">
        <f>AL18-CE18</f>
        <v>6091800</v>
      </c>
      <c r="AM88" s="388">
        <f>AM18-CF18</f>
        <v>0</v>
      </c>
      <c r="AN88" s="388">
        <f>AN18-CG18</f>
        <v>0</v>
      </c>
      <c r="AO88" s="388">
        <f>AO18-CH18</f>
        <v>0</v>
      </c>
      <c r="AP88" s="388">
        <f>AP18-CI18</f>
        <v>0</v>
      </c>
      <c r="AQ88" s="388">
        <f>AQ18-CJ18</f>
        <v>3226300</v>
      </c>
      <c r="AR88" s="388">
        <f>AR18-CK18</f>
        <v>0</v>
      </c>
      <c r="AS88" s="388">
        <f>AS18-CL18</f>
        <v>0</v>
      </c>
      <c r="AT88" s="388">
        <f>AT18-CM18</f>
        <v>0</v>
      </c>
      <c r="AU88" s="388">
        <f>AU18-CN18</f>
        <v>0</v>
      </c>
      <c r="AV88" s="388">
        <f>AV18-CO18</f>
        <v>3511200</v>
      </c>
      <c r="AW88" s="388">
        <f>AW18-CP18</f>
        <v>0</v>
      </c>
      <c r="AX88" s="388">
        <f>AX18-CQ18</f>
        <v>0</v>
      </c>
      <c r="AY88" s="388">
        <f>AY18-CR18</f>
        <v>0</v>
      </c>
      <c r="AZ88" s="388">
        <f>AZ18-CS18</f>
        <v>0</v>
      </c>
      <c r="BA88" s="388">
        <f>BA18-CT18</f>
        <v>2800400</v>
      </c>
      <c r="BB88" s="388">
        <f>BB18-CU18</f>
        <v>0</v>
      </c>
      <c r="BC88" s="388">
        <f>BC18-CV18</f>
        <v>0</v>
      </c>
      <c r="BD88" s="388">
        <f>BD18-CW18</f>
        <v>0</v>
      </c>
      <c r="BE88" s="388">
        <f>BE18-CX18</f>
        <v>0</v>
      </c>
      <c r="BF88" s="388">
        <f>BF18-CY18</f>
        <v>5473560</v>
      </c>
      <c r="BG88" s="388">
        <f>BG18-CZ18</f>
        <v>0</v>
      </c>
      <c r="BH88" s="388">
        <f>BH18-DA18</f>
        <v>0</v>
      </c>
      <c r="BI88" s="388">
        <f>BI18-DB18</f>
        <v>0</v>
      </c>
      <c r="BJ88" s="388">
        <f>BJ18-DC18</f>
        <v>0</v>
      </c>
      <c r="BK88" s="388">
        <f>BK18-DD18</f>
        <v>3797790</v>
      </c>
      <c r="BL88" s="388">
        <f>BL18-DE18</f>
        <v>0</v>
      </c>
      <c r="BM88" s="388">
        <f>BM18-DF18</f>
        <v>0</v>
      </c>
      <c r="BN88" s="388" t="e">
        <f>BN18-#REF!</f>
        <v>#REF!</v>
      </c>
      <c r="BO88" s="388" t="e">
        <f>BO18-#REF!</f>
        <v>#REF!</v>
      </c>
      <c r="BP88" s="388" t="e">
        <f>BP18-#REF!</f>
        <v>#REF!</v>
      </c>
      <c r="BQ88" s="388" t="e">
        <f>BQ18-#REF!</f>
        <v>#REF!</v>
      </c>
      <c r="BR88" s="388" t="e">
        <f>BR18-#REF!</f>
        <v>#REF!</v>
      </c>
      <c r="BS88" s="388" t="e">
        <f>BS18-#REF!</f>
        <v>#REF!</v>
      </c>
      <c r="BT88" s="388" t="e">
        <f>BT18-#REF!</f>
        <v>#REF!</v>
      </c>
      <c r="BU88" s="388" t="e">
        <f>BU18-#REF!</f>
        <v>#REF!</v>
      </c>
      <c r="BV88" s="388"/>
      <c r="BW88" s="388"/>
    </row>
    <row r="89" spans="2:112" hidden="1" x14ac:dyDescent="0.3">
      <c r="M89" s="388" t="e">
        <f>M19-#REF!</f>
        <v>#REF!</v>
      </c>
      <c r="N89" s="388" t="e">
        <f>N19-#REF!</f>
        <v>#REF!</v>
      </c>
      <c r="O89" s="388" t="e">
        <f>O19-#REF!</f>
        <v>#REF!</v>
      </c>
      <c r="P89" s="388" t="e">
        <f>P19-#REF!</f>
        <v>#REF!</v>
      </c>
      <c r="Q89" s="388" t="e">
        <f>Q19-#REF!</f>
        <v>#REF!</v>
      </c>
      <c r="R89" s="388" t="e">
        <f>R19-#REF!</f>
        <v>#REF!</v>
      </c>
      <c r="S89" s="388" t="e">
        <f>S19-#REF!</f>
        <v>#REF!</v>
      </c>
      <c r="T89" s="388" t="e">
        <f>T19-#REF!</f>
        <v>#REF!</v>
      </c>
      <c r="U89" s="388" t="e">
        <f>U19-#REF!</f>
        <v>#REF!</v>
      </c>
      <c r="V89" s="388" t="e">
        <f>V19-#REF!</f>
        <v>#REF!</v>
      </c>
      <c r="W89" s="388" t="e">
        <f>W19-#REF!</f>
        <v>#REF!</v>
      </c>
      <c r="X89" s="388" t="e">
        <f>X19-#REF!</f>
        <v>#REF!</v>
      </c>
      <c r="Y89" s="388" t="e">
        <f>Y19-#REF!</f>
        <v>#REF!</v>
      </c>
      <c r="Z89" s="388" t="e">
        <f>Z19-#REF!</f>
        <v>#REF!</v>
      </c>
      <c r="AA89" s="388" t="e">
        <f>AA19-#REF!</f>
        <v>#REF!</v>
      </c>
      <c r="AB89" s="388" t="e">
        <f>AB19-#REF!</f>
        <v>#REF!</v>
      </c>
      <c r="AC89" s="388" t="e">
        <f>AC19-#REF!</f>
        <v>#REF!</v>
      </c>
      <c r="AD89" s="388" t="e">
        <f>AD19-#REF!</f>
        <v>#REF!</v>
      </c>
      <c r="AE89" s="388">
        <f>AE19-BX19</f>
        <v>0</v>
      </c>
      <c r="AF89" s="388">
        <f>AF19-BY19</f>
        <v>0</v>
      </c>
      <c r="AG89" s="388">
        <f>AG19-BZ19</f>
        <v>1589000</v>
      </c>
      <c r="AH89" s="388">
        <f>AH19-CA19</f>
        <v>0</v>
      </c>
      <c r="AI89" s="388">
        <f>AI19-CB19</f>
        <v>0</v>
      </c>
      <c r="AJ89" s="388">
        <f>AJ19-CC19</f>
        <v>0</v>
      </c>
      <c r="AK89" s="388">
        <f>AK19-CD19</f>
        <v>0</v>
      </c>
      <c r="AL89" s="388">
        <f>AL19-CE19</f>
        <v>5065000</v>
      </c>
      <c r="AM89" s="388">
        <f>AM19-CF19</f>
        <v>0</v>
      </c>
      <c r="AN89" s="388">
        <f>AN19-CG19</f>
        <v>0</v>
      </c>
      <c r="AO89" s="388">
        <f>AO19-CH19</f>
        <v>0</v>
      </c>
      <c r="AP89" s="388">
        <f>AP19-CI19</f>
        <v>0</v>
      </c>
      <c r="AQ89" s="388">
        <f>AQ19-CJ19</f>
        <v>1282700</v>
      </c>
      <c r="AR89" s="388">
        <f>AR19-CK19</f>
        <v>0</v>
      </c>
      <c r="AS89" s="388">
        <f>AS19-CL19</f>
        <v>0</v>
      </c>
      <c r="AT89" s="388">
        <f>AT19-CM19</f>
        <v>0</v>
      </c>
      <c r="AU89" s="388">
        <f>AU19-CN19</f>
        <v>0</v>
      </c>
      <c r="AV89" s="388">
        <f>AV19-CO19</f>
        <v>2900000</v>
      </c>
      <c r="AW89" s="388">
        <f>AW19-CP19</f>
        <v>0</v>
      </c>
      <c r="AX89" s="388">
        <f>AX19-CQ19</f>
        <v>0</v>
      </c>
      <c r="AY89" s="388">
        <f>AY19-CR19</f>
        <v>0</v>
      </c>
      <c r="AZ89" s="388">
        <f>AZ19-CS19</f>
        <v>0</v>
      </c>
      <c r="BA89" s="388">
        <f>BA19-CT19</f>
        <v>4444760</v>
      </c>
      <c r="BB89" s="388">
        <f>BB19-CU19</f>
        <v>0</v>
      </c>
      <c r="BC89" s="388">
        <f>BC19-CV19</f>
        <v>0</v>
      </c>
      <c r="BD89" s="388">
        <f>BD19-CW19</f>
        <v>0</v>
      </c>
      <c r="BE89" s="388">
        <f>BE19-CX19</f>
        <v>0</v>
      </c>
      <c r="BF89" s="388">
        <f>BF19-CY19</f>
        <v>6625030</v>
      </c>
      <c r="BG89" s="388">
        <f>BG19-CZ19</f>
        <v>0</v>
      </c>
      <c r="BH89" s="388">
        <f>BH19-DA19</f>
        <v>0</v>
      </c>
      <c r="BI89" s="388">
        <f>BI19-DB19</f>
        <v>0</v>
      </c>
      <c r="BJ89" s="388">
        <f>BJ19-DC19</f>
        <v>0</v>
      </c>
      <c r="BK89" s="388">
        <f>BK19-DD19</f>
        <v>8151310</v>
      </c>
      <c r="BL89" s="388">
        <f>BL19-DE19</f>
        <v>0</v>
      </c>
      <c r="BM89" s="388">
        <f>BM19-DF19</f>
        <v>0</v>
      </c>
      <c r="BN89" s="388" t="e">
        <f>BN19-#REF!</f>
        <v>#REF!</v>
      </c>
      <c r="BO89" s="388" t="e">
        <f>BO19-#REF!</f>
        <v>#REF!</v>
      </c>
      <c r="BP89" s="388" t="e">
        <f>BP19-#REF!</f>
        <v>#REF!</v>
      </c>
      <c r="BQ89" s="388" t="e">
        <f>BQ19-#REF!</f>
        <v>#REF!</v>
      </c>
      <c r="BR89" s="388" t="e">
        <f>BR19-#REF!</f>
        <v>#REF!</v>
      </c>
      <c r="BS89" s="388" t="e">
        <f>BS19-#REF!</f>
        <v>#REF!</v>
      </c>
      <c r="BT89" s="388" t="e">
        <f>BT19-#REF!</f>
        <v>#REF!</v>
      </c>
      <c r="BU89" s="388" t="e">
        <f>BU19-#REF!</f>
        <v>#REF!</v>
      </c>
      <c r="BV89" s="388"/>
      <c r="BW89" s="388"/>
    </row>
    <row r="90" spans="2:112" hidden="1" x14ac:dyDescent="0.3">
      <c r="M90" s="388" t="e">
        <f>M20-#REF!</f>
        <v>#REF!</v>
      </c>
      <c r="N90" s="388" t="e">
        <f>N20-#REF!</f>
        <v>#REF!</v>
      </c>
      <c r="O90" s="388" t="e">
        <f>O20-#REF!</f>
        <v>#REF!</v>
      </c>
      <c r="P90" s="388" t="e">
        <f>P20-#REF!</f>
        <v>#REF!</v>
      </c>
      <c r="Q90" s="388" t="e">
        <f>Q20-#REF!</f>
        <v>#REF!</v>
      </c>
      <c r="R90" s="388" t="e">
        <f>R20-#REF!</f>
        <v>#REF!</v>
      </c>
      <c r="S90" s="388" t="e">
        <f>S20-#REF!</f>
        <v>#REF!</v>
      </c>
      <c r="T90" s="388" t="e">
        <f>T20-#REF!</f>
        <v>#REF!</v>
      </c>
      <c r="U90" s="388" t="e">
        <f>U20-#REF!</f>
        <v>#REF!</v>
      </c>
      <c r="V90" s="388" t="e">
        <f>V20-#REF!</f>
        <v>#REF!</v>
      </c>
      <c r="W90" s="388" t="e">
        <f>W20-#REF!</f>
        <v>#REF!</v>
      </c>
      <c r="X90" s="388" t="e">
        <f>X20-#REF!</f>
        <v>#REF!</v>
      </c>
      <c r="Y90" s="388" t="e">
        <f>Y20-#REF!</f>
        <v>#REF!</v>
      </c>
      <c r="Z90" s="388" t="e">
        <f>Z20-#REF!</f>
        <v>#REF!</v>
      </c>
      <c r="AA90" s="388" t="e">
        <f>AA20-#REF!</f>
        <v>#REF!</v>
      </c>
      <c r="AB90" s="388" t="e">
        <f>AB20-#REF!</f>
        <v>#REF!</v>
      </c>
      <c r="AC90" s="388" t="e">
        <f>AC20-#REF!</f>
        <v>#REF!</v>
      </c>
      <c r="AD90" s="388" t="e">
        <f>AD20-#REF!</f>
        <v>#REF!</v>
      </c>
      <c r="AE90" s="388">
        <f>AE20-BX20</f>
        <v>0</v>
      </c>
      <c r="AF90" s="388">
        <f>AF20-BY20</f>
        <v>0</v>
      </c>
      <c r="AG90" s="388">
        <f>AG20-BZ20</f>
        <v>0</v>
      </c>
      <c r="AH90" s="388">
        <f>AH20-CA20</f>
        <v>0</v>
      </c>
      <c r="AI90" s="388">
        <f>AI20-CB20</f>
        <v>0</v>
      </c>
      <c r="AJ90" s="388">
        <f>AJ20-CC20</f>
        <v>0</v>
      </c>
      <c r="AK90" s="388">
        <f>AK20-CD20</f>
        <v>0</v>
      </c>
      <c r="AL90" s="388">
        <f>AL20-CE20</f>
        <v>0</v>
      </c>
      <c r="AM90" s="388">
        <f>AM20-CF20</f>
        <v>0</v>
      </c>
      <c r="AN90" s="388">
        <f>AN20-CG20</f>
        <v>0</v>
      </c>
      <c r="AO90" s="388">
        <f>AO20-CH20</f>
        <v>0</v>
      </c>
      <c r="AP90" s="388">
        <f>AP20-CI20</f>
        <v>0</v>
      </c>
      <c r="AQ90" s="388">
        <f>AQ20-CJ20</f>
        <v>0</v>
      </c>
      <c r="AR90" s="388">
        <f>AR20-CK20</f>
        <v>0</v>
      </c>
      <c r="AS90" s="388">
        <f>AS20-CL20</f>
        <v>0</v>
      </c>
      <c r="AT90" s="388">
        <f>AT20-CM20</f>
        <v>0</v>
      </c>
      <c r="AU90" s="388">
        <f>AU20-CN20</f>
        <v>0</v>
      </c>
      <c r="AV90" s="388">
        <f>AV20-CO20</f>
        <v>0</v>
      </c>
      <c r="AW90" s="388">
        <f>AW20-CP20</f>
        <v>0</v>
      </c>
      <c r="AX90" s="388">
        <f>AX20-CQ20</f>
        <v>0</v>
      </c>
      <c r="AY90" s="388">
        <f>AY20-CR20</f>
        <v>0</v>
      </c>
      <c r="AZ90" s="388">
        <f>AZ20-CS20</f>
        <v>0</v>
      </c>
      <c r="BA90" s="388">
        <f>BA20-CT20</f>
        <v>0</v>
      </c>
      <c r="BB90" s="388">
        <f>BB20-CU20</f>
        <v>0</v>
      </c>
      <c r="BC90" s="388">
        <f>BC20-CV20</f>
        <v>0</v>
      </c>
      <c r="BD90" s="388">
        <f>BD20-CW20</f>
        <v>0</v>
      </c>
      <c r="BE90" s="388">
        <f>BE20-CX20</f>
        <v>0</v>
      </c>
      <c r="BF90" s="388">
        <f>BF20-CY20</f>
        <v>0</v>
      </c>
      <c r="BG90" s="388">
        <f>BG20-CZ20</f>
        <v>0</v>
      </c>
      <c r="BH90" s="388">
        <f>BH20-DA20</f>
        <v>0</v>
      </c>
      <c r="BI90" s="388">
        <f>BI20-DB20</f>
        <v>0</v>
      </c>
      <c r="BJ90" s="388">
        <f>BJ20-DC20</f>
        <v>0</v>
      </c>
      <c r="BK90" s="388">
        <f>BK20-DD20</f>
        <v>0</v>
      </c>
      <c r="BL90" s="388">
        <f>BL20-DE20</f>
        <v>0</v>
      </c>
      <c r="BM90" s="388">
        <f>BM20-DF20</f>
        <v>0</v>
      </c>
      <c r="BN90" s="388" t="e">
        <f>BN20-#REF!</f>
        <v>#REF!</v>
      </c>
      <c r="BO90" s="388" t="e">
        <f>BO20-#REF!</f>
        <v>#REF!</v>
      </c>
      <c r="BP90" s="388" t="e">
        <f>BP20-#REF!</f>
        <v>#REF!</v>
      </c>
      <c r="BQ90" s="388" t="e">
        <f>BQ20-#REF!</f>
        <v>#REF!</v>
      </c>
      <c r="BR90" s="388" t="e">
        <f>BR20-#REF!</f>
        <v>#REF!</v>
      </c>
      <c r="BS90" s="388" t="e">
        <f>BS20-#REF!</f>
        <v>#REF!</v>
      </c>
      <c r="BT90" s="388" t="e">
        <f>BT20-#REF!</f>
        <v>#REF!</v>
      </c>
      <c r="BU90" s="388" t="e">
        <f>BU20-#REF!</f>
        <v>#REF!</v>
      </c>
      <c r="BV90" s="388"/>
      <c r="BW90" s="388"/>
    </row>
    <row r="91" spans="2:112" hidden="1" x14ac:dyDescent="0.3">
      <c r="M91" s="388" t="e">
        <f>M21-#REF!</f>
        <v>#REF!</v>
      </c>
      <c r="N91" s="388" t="e">
        <f>N21-#REF!</f>
        <v>#REF!</v>
      </c>
      <c r="O91" s="388" t="e">
        <f>O21-#REF!</f>
        <v>#REF!</v>
      </c>
      <c r="P91" s="388" t="e">
        <f>P21-#REF!</f>
        <v>#REF!</v>
      </c>
      <c r="Q91" s="388" t="e">
        <f>Q21-#REF!</f>
        <v>#REF!</v>
      </c>
      <c r="R91" s="388" t="e">
        <f>R21-#REF!</f>
        <v>#REF!</v>
      </c>
      <c r="S91" s="388" t="e">
        <f>S21-#REF!</f>
        <v>#REF!</v>
      </c>
      <c r="T91" s="388" t="e">
        <f>T21-#REF!</f>
        <v>#REF!</v>
      </c>
      <c r="U91" s="388" t="e">
        <f>U21-#REF!</f>
        <v>#REF!</v>
      </c>
      <c r="V91" s="388" t="e">
        <f>V21-#REF!</f>
        <v>#REF!</v>
      </c>
      <c r="W91" s="388" t="e">
        <f>W21-#REF!</f>
        <v>#REF!</v>
      </c>
      <c r="X91" s="388" t="e">
        <f>X21-#REF!</f>
        <v>#REF!</v>
      </c>
      <c r="Y91" s="388" t="e">
        <f>Y21-#REF!</f>
        <v>#REF!</v>
      </c>
      <c r="Z91" s="388" t="e">
        <f>Z21-#REF!</f>
        <v>#REF!</v>
      </c>
      <c r="AA91" s="388" t="e">
        <f>AA21-#REF!</f>
        <v>#REF!</v>
      </c>
      <c r="AB91" s="388" t="e">
        <f>AB21-#REF!</f>
        <v>#REF!</v>
      </c>
      <c r="AC91" s="388" t="e">
        <f>AC21-#REF!</f>
        <v>#REF!</v>
      </c>
      <c r="AD91" s="388" t="e">
        <f>AD21-#REF!</f>
        <v>#REF!</v>
      </c>
      <c r="AE91" s="388">
        <f>AE21-BX21</f>
        <v>0</v>
      </c>
      <c r="AF91" s="388">
        <f>AF21-BY21</f>
        <v>0</v>
      </c>
      <c r="AG91" s="388">
        <f>AG21-BZ21</f>
        <v>-22442322</v>
      </c>
      <c r="AH91" s="388">
        <f>AH21-CA21</f>
        <v>0</v>
      </c>
      <c r="AI91" s="388">
        <f>AI21-CB21</f>
        <v>0</v>
      </c>
      <c r="AJ91" s="388">
        <f>AJ21-CC21</f>
        <v>0</v>
      </c>
      <c r="AK91" s="388">
        <f>AK21-CD21</f>
        <v>0</v>
      </c>
      <c r="AL91" s="388">
        <f>AL21-CE21</f>
        <v>8649092</v>
      </c>
      <c r="AM91" s="388">
        <f>AM21-CF21</f>
        <v>0</v>
      </c>
      <c r="AN91" s="388">
        <f>AN21-CG21</f>
        <v>0</v>
      </c>
      <c r="AO91" s="388">
        <f>AO21-CH21</f>
        <v>0</v>
      </c>
      <c r="AP91" s="388">
        <f>AP21-CI21</f>
        <v>0</v>
      </c>
      <c r="AQ91" s="388">
        <f>AQ21-CJ21</f>
        <v>14802072</v>
      </c>
      <c r="AR91" s="388">
        <f>AR21-CK21</f>
        <v>0</v>
      </c>
      <c r="AS91" s="388">
        <f>AS21-CL21</f>
        <v>0</v>
      </c>
      <c r="AT91" s="388">
        <f>AT21-CM21</f>
        <v>0</v>
      </c>
      <c r="AU91" s="388">
        <f>AU21-CN21</f>
        <v>0</v>
      </c>
      <c r="AV91" s="388">
        <f>AV21-CO21</f>
        <v>-14046167</v>
      </c>
      <c r="AW91" s="388">
        <f>AW21-CP21</f>
        <v>0</v>
      </c>
      <c r="AX91" s="388">
        <f>AX21-CQ21</f>
        <v>0</v>
      </c>
      <c r="AY91" s="388">
        <f>AY21-CR21</f>
        <v>0</v>
      </c>
      <c r="AZ91" s="388">
        <f>AZ21-CS21</f>
        <v>0</v>
      </c>
      <c r="BA91" s="388">
        <f>BA21-CT21</f>
        <v>-23237233</v>
      </c>
      <c r="BB91" s="388">
        <f>BB21-CU21</f>
        <v>0</v>
      </c>
      <c r="BC91" s="388">
        <f>BC21-CV21</f>
        <v>0</v>
      </c>
      <c r="BD91" s="388">
        <f>BD21-CW21</f>
        <v>0</v>
      </c>
      <c r="BE91" s="388">
        <f>BE21-CX21</f>
        <v>0</v>
      </c>
      <c r="BF91" s="388">
        <f>BF21-CY21</f>
        <v>-13985149</v>
      </c>
      <c r="BG91" s="388">
        <f>BG21-CZ21</f>
        <v>0</v>
      </c>
      <c r="BH91" s="388">
        <f>BH21-DA21</f>
        <v>0</v>
      </c>
      <c r="BI91" s="388">
        <f>BI21-DB21</f>
        <v>0</v>
      </c>
      <c r="BJ91" s="388">
        <f>BJ21-DC21</f>
        <v>0</v>
      </c>
      <c r="BK91" s="388">
        <f>BK21-DD21</f>
        <v>-30086615</v>
      </c>
      <c r="BL91" s="388">
        <f>BL21-DE21</f>
        <v>0</v>
      </c>
      <c r="BM91" s="388">
        <f>BM21-DF21</f>
        <v>0</v>
      </c>
      <c r="BN91" s="388" t="e">
        <f>BN21-#REF!</f>
        <v>#REF!</v>
      </c>
      <c r="BO91" s="388" t="e">
        <f>BO21-#REF!</f>
        <v>#REF!</v>
      </c>
      <c r="BP91" s="388" t="e">
        <f>BP21-#REF!</f>
        <v>#REF!</v>
      </c>
      <c r="BQ91" s="388" t="e">
        <f>BQ21-#REF!</f>
        <v>#REF!</v>
      </c>
      <c r="BR91" s="388" t="e">
        <f>BR21-#REF!</f>
        <v>#REF!</v>
      </c>
      <c r="BS91" s="388" t="e">
        <f>BS21-#REF!</f>
        <v>#REF!</v>
      </c>
      <c r="BT91" s="388" t="e">
        <f>BT21-#REF!</f>
        <v>#REF!</v>
      </c>
      <c r="BU91" s="388" t="e">
        <f>BU21-#REF!</f>
        <v>#REF!</v>
      </c>
      <c r="BV91" s="388"/>
      <c r="BW91" s="388"/>
    </row>
    <row r="92" spans="2:112" hidden="1" x14ac:dyDescent="0.3">
      <c r="M92" s="388" t="e">
        <f>M22-#REF!</f>
        <v>#REF!</v>
      </c>
      <c r="N92" s="388" t="e">
        <f>N22-#REF!</f>
        <v>#REF!</v>
      </c>
      <c r="O92" s="388" t="e">
        <f>O22-#REF!</f>
        <v>#REF!</v>
      </c>
      <c r="P92" s="388" t="e">
        <f>P22-#REF!</f>
        <v>#REF!</v>
      </c>
      <c r="Q92" s="388" t="e">
        <f>Q22-#REF!</f>
        <v>#REF!</v>
      </c>
      <c r="R92" s="388" t="e">
        <f>R22-#REF!</f>
        <v>#REF!</v>
      </c>
      <c r="S92" s="388" t="e">
        <f>S22-#REF!</f>
        <v>#REF!</v>
      </c>
      <c r="T92" s="388" t="e">
        <f>T22-#REF!</f>
        <v>#REF!</v>
      </c>
      <c r="U92" s="388" t="e">
        <f>U22-#REF!</f>
        <v>#REF!</v>
      </c>
      <c r="V92" s="388" t="e">
        <f>V22-#REF!</f>
        <v>#REF!</v>
      </c>
      <c r="W92" s="388" t="e">
        <f>W22-#REF!</f>
        <v>#REF!</v>
      </c>
      <c r="X92" s="388" t="e">
        <f>X22-#REF!</f>
        <v>#REF!</v>
      </c>
      <c r="Y92" s="388" t="e">
        <f>Y22-#REF!</f>
        <v>#REF!</v>
      </c>
      <c r="Z92" s="388" t="e">
        <f>Z22-#REF!</f>
        <v>#REF!</v>
      </c>
      <c r="AA92" s="388" t="e">
        <f>AA22-#REF!</f>
        <v>#REF!</v>
      </c>
      <c r="AB92" s="388" t="e">
        <f>AB22-#REF!</f>
        <v>#REF!</v>
      </c>
      <c r="AC92" s="388" t="e">
        <f>AC22-#REF!</f>
        <v>#REF!</v>
      </c>
      <c r="AD92" s="388" t="e">
        <f>AD22-#REF!</f>
        <v>#REF!</v>
      </c>
      <c r="AE92" s="388">
        <f>AE22-BX22</f>
        <v>0</v>
      </c>
      <c r="AF92" s="388">
        <f>AF22-BY22</f>
        <v>0</v>
      </c>
      <c r="AG92" s="388">
        <f>AG22-BZ22</f>
        <v>0</v>
      </c>
      <c r="AH92" s="388">
        <f>AH22-CA22</f>
        <v>0</v>
      </c>
      <c r="AI92" s="388">
        <f>AI22-CB22</f>
        <v>0</v>
      </c>
      <c r="AJ92" s="388">
        <f>AJ22-CC22</f>
        <v>0</v>
      </c>
      <c r="AK92" s="388">
        <f>AK22-CD22</f>
        <v>0</v>
      </c>
      <c r="AL92" s="388">
        <f>AL22-CE22</f>
        <v>0</v>
      </c>
      <c r="AM92" s="388">
        <f>AM22-CF22</f>
        <v>0</v>
      </c>
      <c r="AN92" s="388">
        <f>AN22-CG22</f>
        <v>0</v>
      </c>
      <c r="AO92" s="388">
        <f>AO22-CH22</f>
        <v>0</v>
      </c>
      <c r="AP92" s="388">
        <f>AP22-CI22</f>
        <v>0</v>
      </c>
      <c r="AQ92" s="388">
        <f>AQ22-CJ22</f>
        <v>0</v>
      </c>
      <c r="AR92" s="388">
        <f>AR22-CK22</f>
        <v>0</v>
      </c>
      <c r="AS92" s="388">
        <f>AS22-CL22</f>
        <v>0</v>
      </c>
      <c r="AT92" s="388">
        <f>AT22-CM22</f>
        <v>0</v>
      </c>
      <c r="AU92" s="388">
        <f>AU22-CN22</f>
        <v>0</v>
      </c>
      <c r="AV92" s="388">
        <f>AV22-CO22</f>
        <v>0</v>
      </c>
      <c r="AW92" s="388">
        <f>AW22-CP22</f>
        <v>0</v>
      </c>
      <c r="AX92" s="388">
        <f>AX22-CQ22</f>
        <v>0</v>
      </c>
      <c r="AY92" s="388">
        <f>AY22-CR22</f>
        <v>0</v>
      </c>
      <c r="AZ92" s="388">
        <f>AZ22-CS22</f>
        <v>0</v>
      </c>
      <c r="BA92" s="388">
        <f>BA22-CT22</f>
        <v>0</v>
      </c>
      <c r="BB92" s="388">
        <f>BB22-CU22</f>
        <v>0</v>
      </c>
      <c r="BC92" s="388">
        <f>BC22-CV22</f>
        <v>0</v>
      </c>
      <c r="BD92" s="388">
        <f>BD22-CW22</f>
        <v>0</v>
      </c>
      <c r="BE92" s="388">
        <f>BE22-CX22</f>
        <v>0</v>
      </c>
      <c r="BF92" s="388">
        <f>BF22-CY22</f>
        <v>0</v>
      </c>
      <c r="BG92" s="388">
        <f>BG22-CZ22</f>
        <v>0</v>
      </c>
      <c r="BH92" s="388">
        <f>BH22-DA22</f>
        <v>0</v>
      </c>
      <c r="BI92" s="388">
        <f>BI22-DB22</f>
        <v>0</v>
      </c>
      <c r="BJ92" s="388">
        <f>BJ22-DC22</f>
        <v>0</v>
      </c>
      <c r="BK92" s="388">
        <f>BK22-DD22</f>
        <v>0</v>
      </c>
      <c r="BL92" s="388">
        <f>BL22-DE22</f>
        <v>0</v>
      </c>
      <c r="BM92" s="388">
        <f>BM22-DF22</f>
        <v>0</v>
      </c>
      <c r="BN92" s="388" t="e">
        <f>BN22-#REF!</f>
        <v>#REF!</v>
      </c>
      <c r="BO92" s="388" t="e">
        <f>BO22-#REF!</f>
        <v>#REF!</v>
      </c>
      <c r="BP92" s="388" t="e">
        <f>BP22-#REF!</f>
        <v>#REF!</v>
      </c>
      <c r="BQ92" s="388" t="e">
        <f>BQ22-#REF!</f>
        <v>#REF!</v>
      </c>
      <c r="BR92" s="388" t="e">
        <f>BR22-#REF!</f>
        <v>#REF!</v>
      </c>
      <c r="BS92" s="388" t="e">
        <f>BS22-#REF!</f>
        <v>#REF!</v>
      </c>
      <c r="BT92" s="388" t="e">
        <f>BT22-#REF!</f>
        <v>#REF!</v>
      </c>
      <c r="BU92" s="388" t="e">
        <f>BU22-#REF!</f>
        <v>#REF!</v>
      </c>
      <c r="BV92" s="388"/>
      <c r="BW92" s="388"/>
    </row>
    <row r="93" spans="2:112" hidden="1" x14ac:dyDescent="0.3">
      <c r="M93" s="388" t="e">
        <f>M23-#REF!</f>
        <v>#REF!</v>
      </c>
      <c r="N93" s="388" t="e">
        <f>N23-#REF!</f>
        <v>#REF!</v>
      </c>
      <c r="O93" s="388" t="e">
        <f>O23-#REF!</f>
        <v>#REF!</v>
      </c>
      <c r="P93" s="388" t="e">
        <f>P23-#REF!</f>
        <v>#REF!</v>
      </c>
      <c r="Q93" s="388" t="e">
        <f>Q23-#REF!</f>
        <v>#REF!</v>
      </c>
      <c r="R93" s="388" t="e">
        <f>R23-#REF!</f>
        <v>#REF!</v>
      </c>
      <c r="S93" s="388" t="e">
        <f>S23-#REF!</f>
        <v>#REF!</v>
      </c>
      <c r="T93" s="388" t="e">
        <f>T23-#REF!</f>
        <v>#REF!</v>
      </c>
      <c r="U93" s="388" t="e">
        <f>U23-#REF!</f>
        <v>#REF!</v>
      </c>
      <c r="V93" s="388" t="e">
        <f>V23-#REF!</f>
        <v>#REF!</v>
      </c>
      <c r="W93" s="388" t="e">
        <f>W23-#REF!</f>
        <v>#REF!</v>
      </c>
      <c r="X93" s="388" t="e">
        <f>X23-#REF!</f>
        <v>#REF!</v>
      </c>
      <c r="Y93" s="388" t="e">
        <f>Y23-#REF!</f>
        <v>#REF!</v>
      </c>
      <c r="Z93" s="388" t="e">
        <f>Z23-#REF!</f>
        <v>#REF!</v>
      </c>
      <c r="AA93" s="388" t="e">
        <f>AA23-#REF!</f>
        <v>#REF!</v>
      </c>
      <c r="AB93" s="388" t="e">
        <f>AB23-#REF!</f>
        <v>#REF!</v>
      </c>
      <c r="AC93" s="388" t="e">
        <f>AC23-#REF!</f>
        <v>#REF!</v>
      </c>
      <c r="AD93" s="388" t="e">
        <f>AD23-#REF!</f>
        <v>#REF!</v>
      </c>
      <c r="AE93" s="388">
        <f>AE23-BX23</f>
        <v>0</v>
      </c>
      <c r="AF93" s="388">
        <f>AF23-BY23</f>
        <v>0</v>
      </c>
      <c r="AG93" s="388">
        <f>AG23-BZ23</f>
        <v>9064672</v>
      </c>
      <c r="AH93" s="388">
        <f>AH23-CA23</f>
        <v>0</v>
      </c>
      <c r="AI93" s="388">
        <f>AI23-CB23</f>
        <v>0</v>
      </c>
      <c r="AJ93" s="388">
        <f>AJ23-CC23</f>
        <v>0</v>
      </c>
      <c r="AK93" s="388">
        <f>AK23-CD23</f>
        <v>0</v>
      </c>
      <c r="AL93" s="388">
        <f>AL23-CE23</f>
        <v>21319784</v>
      </c>
      <c r="AM93" s="388">
        <f>AM23-CF23</f>
        <v>0</v>
      </c>
      <c r="AN93" s="388">
        <f>AN23-CG23</f>
        <v>0</v>
      </c>
      <c r="AO93" s="388">
        <f>AO23-CH23</f>
        <v>0</v>
      </c>
      <c r="AP93" s="388">
        <f>AP23-CI23</f>
        <v>0</v>
      </c>
      <c r="AQ93" s="388">
        <f>AQ23-CJ23</f>
        <v>19644925</v>
      </c>
      <c r="AR93" s="388">
        <f>AR23-CK23</f>
        <v>0</v>
      </c>
      <c r="AS93" s="388">
        <f>AS23-CL23</f>
        <v>0</v>
      </c>
      <c r="AT93" s="388">
        <f>AT23-CM23</f>
        <v>0</v>
      </c>
      <c r="AU93" s="388">
        <f>AU23-CN23</f>
        <v>0</v>
      </c>
      <c r="AV93" s="388">
        <f>AV23-CO23</f>
        <v>8492669</v>
      </c>
      <c r="AW93" s="388">
        <f>AW23-CP23</f>
        <v>0</v>
      </c>
      <c r="AX93" s="388">
        <f>AX23-CQ23</f>
        <v>0</v>
      </c>
      <c r="AY93" s="388">
        <f>AY23-CR23</f>
        <v>0</v>
      </c>
      <c r="AZ93" s="388">
        <f>AZ23-CS23</f>
        <v>0</v>
      </c>
      <c r="BA93" s="388">
        <f>BA23-CT23</f>
        <v>21858412</v>
      </c>
      <c r="BB93" s="388">
        <f>BB23-CU23</f>
        <v>0</v>
      </c>
      <c r="BC93" s="388">
        <f>BC23-CV23</f>
        <v>0</v>
      </c>
      <c r="BD93" s="388">
        <f>BD23-CW23</f>
        <v>0</v>
      </c>
      <c r="BE93" s="388">
        <f>BE23-CX23</f>
        <v>0</v>
      </c>
      <c r="BF93" s="388">
        <f>BF23-CY23</f>
        <v>31522443</v>
      </c>
      <c r="BG93" s="388">
        <f>BG23-CZ23</f>
        <v>0</v>
      </c>
      <c r="BH93" s="388">
        <f>BH23-DA23</f>
        <v>0</v>
      </c>
      <c r="BI93" s="388">
        <f>BI23-DB23</f>
        <v>0</v>
      </c>
      <c r="BJ93" s="388">
        <f>BJ23-DC23</f>
        <v>0</v>
      </c>
      <c r="BK93" s="388">
        <f>BK23-DD23</f>
        <v>13287564</v>
      </c>
      <c r="BL93" s="388">
        <f>BL23-DE23</f>
        <v>0</v>
      </c>
      <c r="BM93" s="388">
        <f>BM23-DF23</f>
        <v>0</v>
      </c>
      <c r="BN93" s="388" t="e">
        <f>BN23-#REF!</f>
        <v>#REF!</v>
      </c>
      <c r="BO93" s="388" t="e">
        <f>BO23-#REF!</f>
        <v>#REF!</v>
      </c>
      <c r="BP93" s="388" t="e">
        <f>BP23-#REF!</f>
        <v>#REF!</v>
      </c>
      <c r="BQ93" s="388" t="e">
        <f>BQ23-#REF!</f>
        <v>#REF!</v>
      </c>
      <c r="BR93" s="388" t="e">
        <f>BR23-#REF!</f>
        <v>#REF!</v>
      </c>
      <c r="BS93" s="388" t="e">
        <f>BS23-#REF!</f>
        <v>#REF!</v>
      </c>
      <c r="BT93" s="388" t="e">
        <f>BT23-#REF!</f>
        <v>#REF!</v>
      </c>
      <c r="BU93" s="388" t="e">
        <f>BU23-#REF!</f>
        <v>#REF!</v>
      </c>
      <c r="BV93" s="388"/>
      <c r="BW93" s="388"/>
    </row>
    <row r="94" spans="2:112" hidden="1" x14ac:dyDescent="0.3">
      <c r="M94" s="388" t="e">
        <f>M24-#REF!</f>
        <v>#REF!</v>
      </c>
      <c r="N94" s="388" t="e">
        <f>N24-#REF!</f>
        <v>#REF!</v>
      </c>
      <c r="O94" s="388" t="e">
        <f>O24-#REF!</f>
        <v>#REF!</v>
      </c>
      <c r="P94" s="388" t="e">
        <f>P24-#REF!</f>
        <v>#REF!</v>
      </c>
      <c r="Q94" s="388" t="e">
        <f>Q24-#REF!</f>
        <v>#REF!</v>
      </c>
      <c r="R94" s="388" t="e">
        <f>R24-#REF!</f>
        <v>#REF!</v>
      </c>
      <c r="S94" s="388" t="e">
        <f>S24-#REF!</f>
        <v>#REF!</v>
      </c>
      <c r="T94" s="388" t="e">
        <f>T24-#REF!</f>
        <v>#REF!</v>
      </c>
      <c r="U94" s="388" t="e">
        <f>U24-#REF!</f>
        <v>#REF!</v>
      </c>
      <c r="V94" s="388" t="e">
        <f>V24-#REF!</f>
        <v>#REF!</v>
      </c>
      <c r="W94" s="388" t="e">
        <f>W24-#REF!</f>
        <v>#REF!</v>
      </c>
      <c r="X94" s="388" t="e">
        <f>X24-#REF!</f>
        <v>#REF!</v>
      </c>
      <c r="Y94" s="388" t="e">
        <f>Y24-#REF!</f>
        <v>#REF!</v>
      </c>
      <c r="Z94" s="388" t="e">
        <f>Z24-#REF!</f>
        <v>#REF!</v>
      </c>
      <c r="AA94" s="388" t="e">
        <f>AA24-#REF!</f>
        <v>#REF!</v>
      </c>
      <c r="AB94" s="388" t="e">
        <f>AB24-#REF!</f>
        <v>#REF!</v>
      </c>
      <c r="AC94" s="388" t="e">
        <f>AC24-#REF!</f>
        <v>#REF!</v>
      </c>
      <c r="AD94" s="388" t="e">
        <f>AD24-#REF!</f>
        <v>#REF!</v>
      </c>
      <c r="AE94" s="388">
        <f>AE24-BX24</f>
        <v>0</v>
      </c>
      <c r="AF94" s="388">
        <f>AF24-BY24</f>
        <v>0</v>
      </c>
      <c r="AG94" s="388">
        <f>AG24-BZ24</f>
        <v>9064672</v>
      </c>
      <c r="AH94" s="388">
        <f>AH24-CA24</f>
        <v>0</v>
      </c>
      <c r="AI94" s="388">
        <f>AI24-CB24</f>
        <v>0</v>
      </c>
      <c r="AJ94" s="388">
        <f>AJ24-CC24</f>
        <v>0</v>
      </c>
      <c r="AK94" s="388">
        <f>AK24-CD24</f>
        <v>0</v>
      </c>
      <c r="AL94" s="388">
        <f>AL24-CE24</f>
        <v>21319784</v>
      </c>
      <c r="AM94" s="388">
        <f>AM24-CF24</f>
        <v>0</v>
      </c>
      <c r="AN94" s="388">
        <f>AN24-CG24</f>
        <v>0</v>
      </c>
      <c r="AO94" s="388">
        <f>AO24-CH24</f>
        <v>0</v>
      </c>
      <c r="AP94" s="388">
        <f>AP24-CI24</f>
        <v>0</v>
      </c>
      <c r="AQ94" s="388">
        <f>AQ24-CJ24</f>
        <v>19644925</v>
      </c>
      <c r="AR94" s="388">
        <f>AR24-CK24</f>
        <v>0</v>
      </c>
      <c r="AS94" s="388">
        <f>AS24-CL24</f>
        <v>0</v>
      </c>
      <c r="AT94" s="388">
        <f>AT24-CM24</f>
        <v>0</v>
      </c>
      <c r="AU94" s="388">
        <f>AU24-CN24</f>
        <v>0</v>
      </c>
      <c r="AV94" s="388">
        <f>AV24-CO24</f>
        <v>8406792</v>
      </c>
      <c r="AW94" s="388">
        <f>AW24-CP24</f>
        <v>0</v>
      </c>
      <c r="AX94" s="388">
        <f>AX24-CQ24</f>
        <v>0</v>
      </c>
      <c r="AY94" s="388">
        <f>AY24-CR24</f>
        <v>0</v>
      </c>
      <c r="AZ94" s="388">
        <f>AZ24-CS24</f>
        <v>0</v>
      </c>
      <c r="BA94" s="388">
        <f>BA24-CT24</f>
        <v>21944289</v>
      </c>
      <c r="BB94" s="388">
        <f>BB24-CU24</f>
        <v>0</v>
      </c>
      <c r="BC94" s="388">
        <f>BC24-CV24</f>
        <v>0</v>
      </c>
      <c r="BD94" s="388">
        <f>BD24-CW24</f>
        <v>0</v>
      </c>
      <c r="BE94" s="388">
        <f>BE24-CX24</f>
        <v>0</v>
      </c>
      <c r="BF94" s="388">
        <f>BF24-CY24</f>
        <v>31522443</v>
      </c>
      <c r="BG94" s="388">
        <f>BG24-CZ24</f>
        <v>0</v>
      </c>
      <c r="BH94" s="388">
        <f>BH24-DA24</f>
        <v>0</v>
      </c>
      <c r="BI94" s="388">
        <f>BI24-DB24</f>
        <v>0</v>
      </c>
      <c r="BJ94" s="388">
        <f>BJ24-DC24</f>
        <v>0</v>
      </c>
      <c r="BK94" s="388">
        <f>BK24-DD24</f>
        <v>13245850</v>
      </c>
      <c r="BL94" s="388">
        <f>BL24-DE24</f>
        <v>0</v>
      </c>
      <c r="BM94" s="388">
        <f>BM24-DF24</f>
        <v>0</v>
      </c>
      <c r="BN94" s="388" t="e">
        <f>BN24-#REF!</f>
        <v>#REF!</v>
      </c>
      <c r="BO94" s="388" t="e">
        <f>BO24-#REF!</f>
        <v>#REF!</v>
      </c>
      <c r="BP94" s="388" t="e">
        <f>BP24-#REF!</f>
        <v>#REF!</v>
      </c>
      <c r="BQ94" s="388" t="e">
        <f>BQ24-#REF!</f>
        <v>#REF!</v>
      </c>
      <c r="BR94" s="388" t="e">
        <f>BR24-#REF!</f>
        <v>#REF!</v>
      </c>
      <c r="BS94" s="388" t="e">
        <f>BS24-#REF!</f>
        <v>#REF!</v>
      </c>
      <c r="BT94" s="388" t="e">
        <f>BT24-#REF!</f>
        <v>#REF!</v>
      </c>
      <c r="BU94" s="388" t="e">
        <f>BU24-#REF!</f>
        <v>#REF!</v>
      </c>
      <c r="BV94" s="388"/>
      <c r="BW94" s="388"/>
      <c r="DH94" s="38"/>
    </row>
    <row r="95" spans="2:112" hidden="1" x14ac:dyDescent="0.3">
      <c r="M95" s="388" t="e">
        <f>M25-#REF!</f>
        <v>#REF!</v>
      </c>
      <c r="N95" s="388" t="e">
        <f>N25-#REF!</f>
        <v>#REF!</v>
      </c>
      <c r="O95" s="388" t="e">
        <f>O25-#REF!</f>
        <v>#REF!</v>
      </c>
      <c r="P95" s="388" t="e">
        <f>P25-#REF!</f>
        <v>#REF!</v>
      </c>
      <c r="Q95" s="388" t="e">
        <f>Q25-#REF!</f>
        <v>#REF!</v>
      </c>
      <c r="R95" s="388" t="e">
        <f>R25-#REF!</f>
        <v>#REF!</v>
      </c>
      <c r="S95" s="388" t="e">
        <f>S25-#REF!</f>
        <v>#REF!</v>
      </c>
      <c r="T95" s="388" t="e">
        <f>T25-#REF!</f>
        <v>#REF!</v>
      </c>
      <c r="U95" s="388" t="e">
        <f>U25-#REF!</f>
        <v>#REF!</v>
      </c>
      <c r="V95" s="388" t="e">
        <f>V25-#REF!</f>
        <v>#REF!</v>
      </c>
      <c r="W95" s="388" t="e">
        <f>W25-#REF!</f>
        <v>#REF!</v>
      </c>
      <c r="X95" s="388" t="e">
        <f>X25-#REF!</f>
        <v>#REF!</v>
      </c>
      <c r="Y95" s="388" t="e">
        <f>Y25-#REF!</f>
        <v>#REF!</v>
      </c>
      <c r="Z95" s="388" t="e">
        <f>Z25-#REF!</f>
        <v>#REF!</v>
      </c>
      <c r="AA95" s="388" t="e">
        <f>AA25-#REF!</f>
        <v>#REF!</v>
      </c>
      <c r="AB95" s="388" t="e">
        <f>AB25-#REF!</f>
        <v>#REF!</v>
      </c>
      <c r="AC95" s="388" t="e">
        <f>AC25-#REF!</f>
        <v>#REF!</v>
      </c>
      <c r="AD95" s="388" t="e">
        <f>AD25-#REF!</f>
        <v>#REF!</v>
      </c>
      <c r="AE95" s="388">
        <f>AE25-BX25</f>
        <v>0</v>
      </c>
      <c r="AF95" s="388">
        <f>AF25-BY25</f>
        <v>0</v>
      </c>
      <c r="AG95" s="388">
        <f>AG25-BZ25</f>
        <v>13414624</v>
      </c>
      <c r="AH95" s="388">
        <f>AH25-CA25</f>
        <v>0</v>
      </c>
      <c r="AI95" s="388">
        <f>AI25-CB25</f>
        <v>0</v>
      </c>
      <c r="AJ95" s="388">
        <f>AJ25-CC25</f>
        <v>0</v>
      </c>
      <c r="AK95" s="388">
        <f>AK25-CD25</f>
        <v>0</v>
      </c>
      <c r="AL95" s="388">
        <f>AL25-CE25</f>
        <v>29397396</v>
      </c>
      <c r="AM95" s="388">
        <f>AM25-CF25</f>
        <v>0</v>
      </c>
      <c r="AN95" s="388">
        <f>AN25-CG25</f>
        <v>0</v>
      </c>
      <c r="AO95" s="388">
        <f>AO25-CH25</f>
        <v>0</v>
      </c>
      <c r="AP95" s="388">
        <f>AP25-CI25</f>
        <v>0</v>
      </c>
      <c r="AQ95" s="388">
        <f>AQ25-CJ25</f>
        <v>25960536</v>
      </c>
      <c r="AR95" s="388">
        <f>AR25-CK25</f>
        <v>0</v>
      </c>
      <c r="AS95" s="388">
        <f>AS25-CL25</f>
        <v>0</v>
      </c>
      <c r="AT95" s="388">
        <f>AT25-CM25</f>
        <v>0</v>
      </c>
      <c r="AU95" s="388">
        <f>AU25-CN25</f>
        <v>0</v>
      </c>
      <c r="AV95" s="388">
        <f>AV25-CO25</f>
        <v>12046075</v>
      </c>
      <c r="AW95" s="388">
        <f>AW25-CP25</f>
        <v>0</v>
      </c>
      <c r="AX95" s="388">
        <f>AX25-CQ25</f>
        <v>0</v>
      </c>
      <c r="AY95" s="388">
        <f>AY25-CR25</f>
        <v>0</v>
      </c>
      <c r="AZ95" s="388">
        <f>AZ25-CS25</f>
        <v>0</v>
      </c>
      <c r="BA95" s="388">
        <f>BA25-CT25</f>
        <v>25715065</v>
      </c>
      <c r="BB95" s="388">
        <f>BB25-CU25</f>
        <v>0</v>
      </c>
      <c r="BC95" s="388">
        <f>BC25-CV25</f>
        <v>0</v>
      </c>
      <c r="BD95" s="388">
        <f>BD25-CW25</f>
        <v>0</v>
      </c>
      <c r="BE95" s="388">
        <f>BE25-CX25</f>
        <v>0</v>
      </c>
      <c r="BF95" s="388">
        <f>BF25-CY25</f>
        <v>17497866</v>
      </c>
      <c r="BG95" s="388">
        <f>BG25-CZ25</f>
        <v>0</v>
      </c>
      <c r="BH95" s="388">
        <f>BH25-DA25</f>
        <v>0</v>
      </c>
      <c r="BI95" s="388">
        <f>BI25-DB25</f>
        <v>0</v>
      </c>
      <c r="BJ95" s="388">
        <f>BJ25-DC25</f>
        <v>0</v>
      </c>
      <c r="BK95" s="388">
        <f>BK25-DD25</f>
        <v>17131929</v>
      </c>
      <c r="BL95" s="388">
        <f>BL25-DE25</f>
        <v>0</v>
      </c>
      <c r="BM95" s="388">
        <f>BM25-DF25</f>
        <v>0</v>
      </c>
      <c r="BN95" s="388" t="e">
        <f>BN25-#REF!</f>
        <v>#REF!</v>
      </c>
      <c r="BO95" s="388" t="e">
        <f>BO25-#REF!</f>
        <v>#REF!</v>
      </c>
      <c r="BP95" s="388" t="e">
        <f>BP25-#REF!</f>
        <v>#REF!</v>
      </c>
      <c r="BQ95" s="388" t="e">
        <f>BQ25-#REF!</f>
        <v>#REF!</v>
      </c>
      <c r="BR95" s="388" t="e">
        <f>BR25-#REF!</f>
        <v>#REF!</v>
      </c>
      <c r="BS95" s="388" t="e">
        <f>BS25-#REF!</f>
        <v>#REF!</v>
      </c>
      <c r="BT95" s="388" t="e">
        <f>BT25-#REF!</f>
        <v>#REF!</v>
      </c>
      <c r="BU95" s="388" t="e">
        <f>BU25-#REF!</f>
        <v>#REF!</v>
      </c>
      <c r="BV95" s="388"/>
      <c r="BW95" s="388"/>
      <c r="DH95" s="38"/>
    </row>
    <row r="96" spans="2:112" hidden="1" x14ac:dyDescent="0.3">
      <c r="M96" s="388" t="e">
        <f>M26-#REF!</f>
        <v>#REF!</v>
      </c>
      <c r="N96" s="388" t="e">
        <f>N26-#REF!</f>
        <v>#REF!</v>
      </c>
      <c r="O96" s="388" t="e">
        <f>O26-#REF!</f>
        <v>#REF!</v>
      </c>
      <c r="P96" s="388" t="e">
        <f>P26-#REF!</f>
        <v>#REF!</v>
      </c>
      <c r="Q96" s="388" t="e">
        <f>Q26-#REF!</f>
        <v>#REF!</v>
      </c>
      <c r="R96" s="388" t="e">
        <f>R26-#REF!</f>
        <v>#REF!</v>
      </c>
      <c r="S96" s="388" t="e">
        <f>S26-#REF!</f>
        <v>#REF!</v>
      </c>
      <c r="T96" s="388" t="e">
        <f>T26-#REF!</f>
        <v>#REF!</v>
      </c>
      <c r="U96" s="388" t="e">
        <f>U26-#REF!</f>
        <v>#REF!</v>
      </c>
      <c r="V96" s="388" t="e">
        <f>V26-#REF!</f>
        <v>#REF!</v>
      </c>
      <c r="W96" s="388" t="e">
        <f>W26-#REF!</f>
        <v>#REF!</v>
      </c>
      <c r="X96" s="388" t="e">
        <f>X26-#REF!</f>
        <v>#REF!</v>
      </c>
      <c r="Y96" s="388" t="e">
        <f>Y26-#REF!</f>
        <v>#REF!</v>
      </c>
      <c r="Z96" s="388" t="e">
        <f>Z26-#REF!</f>
        <v>#REF!</v>
      </c>
      <c r="AA96" s="388" t="e">
        <f>AA26-#REF!</f>
        <v>#REF!</v>
      </c>
      <c r="AB96" s="388" t="e">
        <f>AB26-#REF!</f>
        <v>#REF!</v>
      </c>
      <c r="AC96" s="388" t="e">
        <f>AC26-#REF!</f>
        <v>#REF!</v>
      </c>
      <c r="AD96" s="388" t="e">
        <f>AD26-#REF!</f>
        <v>#REF!</v>
      </c>
      <c r="AE96" s="388">
        <f>AE26-BX26</f>
        <v>0</v>
      </c>
      <c r="AF96" s="388">
        <f>AF26-BY26</f>
        <v>0</v>
      </c>
      <c r="AG96" s="388">
        <f>AG26-BZ26</f>
        <v>-4454700</v>
      </c>
      <c r="AH96" s="388">
        <f>AH26-CA26</f>
        <v>0</v>
      </c>
      <c r="AI96" s="388">
        <f>AI26-CB26</f>
        <v>0</v>
      </c>
      <c r="AJ96" s="388">
        <f>AJ26-CC26</f>
        <v>0</v>
      </c>
      <c r="AK96" s="388">
        <f>AK26-CD26</f>
        <v>0</v>
      </c>
      <c r="AL96" s="388">
        <f>AL26-CE26</f>
        <v>-8318990</v>
      </c>
      <c r="AM96" s="388">
        <f>AM26-CF26</f>
        <v>0</v>
      </c>
      <c r="AN96" s="388">
        <f>AN26-CG26</f>
        <v>0</v>
      </c>
      <c r="AO96" s="388">
        <f>AO26-CH26</f>
        <v>0</v>
      </c>
      <c r="AP96" s="388">
        <f>AP26-CI26</f>
        <v>0</v>
      </c>
      <c r="AQ96" s="388">
        <f>AQ26-CJ26</f>
        <v>-6173253</v>
      </c>
      <c r="AR96" s="388">
        <f>AR26-CK26</f>
        <v>0</v>
      </c>
      <c r="AS96" s="388">
        <f>AS26-CL26</f>
        <v>0</v>
      </c>
      <c r="AT96" s="388">
        <f>AT26-CM26</f>
        <v>0</v>
      </c>
      <c r="AU96" s="388">
        <f>AU26-CN26</f>
        <v>0</v>
      </c>
      <c r="AV96" s="388">
        <f>AV26-CO26</f>
        <v>-3697829</v>
      </c>
      <c r="AW96" s="388">
        <f>AW26-CP26</f>
        <v>0</v>
      </c>
      <c r="AX96" s="388">
        <f>AX26-CQ26</f>
        <v>0</v>
      </c>
      <c r="AY96" s="388">
        <f>AY26-CR26</f>
        <v>0</v>
      </c>
      <c r="AZ96" s="388">
        <f>AZ26-CS26</f>
        <v>0</v>
      </c>
      <c r="BA96" s="388">
        <f>BA26-CT26</f>
        <v>-4046770</v>
      </c>
      <c r="BB96" s="388">
        <f>BB26-CU26</f>
        <v>0</v>
      </c>
      <c r="BC96" s="388">
        <f>BC26-CV26</f>
        <v>0</v>
      </c>
      <c r="BD96" s="388">
        <f>BD26-CW26</f>
        <v>0</v>
      </c>
      <c r="BE96" s="388">
        <f>BE26-CX26</f>
        <v>0</v>
      </c>
      <c r="BF96" s="388">
        <f>BF26-CY26</f>
        <v>-1707188</v>
      </c>
      <c r="BG96" s="388">
        <f>BG26-CZ26</f>
        <v>0</v>
      </c>
      <c r="BH96" s="388">
        <f>BH26-DA26</f>
        <v>0</v>
      </c>
      <c r="BI96" s="388">
        <f>BI26-DB26</f>
        <v>0</v>
      </c>
      <c r="BJ96" s="388">
        <f>BJ26-DC26</f>
        <v>0</v>
      </c>
      <c r="BK96" s="388">
        <f>BK26-DD26</f>
        <v>-3844879</v>
      </c>
      <c r="BL96" s="388">
        <f>BL26-DE26</f>
        <v>0</v>
      </c>
      <c r="BM96" s="388">
        <f>BM26-DF26</f>
        <v>0</v>
      </c>
      <c r="BN96" s="388" t="e">
        <f>BN26-#REF!</f>
        <v>#REF!</v>
      </c>
      <c r="BO96" s="388" t="e">
        <f>BO26-#REF!</f>
        <v>#REF!</v>
      </c>
      <c r="BP96" s="388" t="e">
        <f>BP26-#REF!</f>
        <v>#REF!</v>
      </c>
      <c r="BQ96" s="388" t="e">
        <f>BQ26-#REF!</f>
        <v>#REF!</v>
      </c>
      <c r="BR96" s="388" t="e">
        <f>BR26-#REF!</f>
        <v>#REF!</v>
      </c>
      <c r="BS96" s="388" t="e">
        <f>BS26-#REF!</f>
        <v>#REF!</v>
      </c>
      <c r="BT96" s="388" t="e">
        <f>BT26-#REF!</f>
        <v>#REF!</v>
      </c>
      <c r="BU96" s="388" t="e">
        <f>BU26-#REF!</f>
        <v>#REF!</v>
      </c>
      <c r="BV96" s="388"/>
      <c r="BW96" s="388">
        <f>-[39]domredemp!BV98</f>
        <v>0</v>
      </c>
      <c r="DH96" s="38"/>
    </row>
    <row r="97" spans="13:112" hidden="1" x14ac:dyDescent="0.3">
      <c r="M97" s="388" t="e">
        <f>#REF!-#REF!</f>
        <v>#REF!</v>
      </c>
      <c r="N97" s="388" t="e">
        <f>#REF!-#REF!</f>
        <v>#REF!</v>
      </c>
      <c r="O97" s="388" t="e">
        <f>#REF!-#REF!</f>
        <v>#REF!</v>
      </c>
      <c r="P97" s="388" t="e">
        <f>#REF!-#REF!</f>
        <v>#REF!</v>
      </c>
      <c r="Q97" s="388" t="e">
        <f>#REF!-#REF!</f>
        <v>#REF!</v>
      </c>
      <c r="R97" s="388" t="e">
        <f>#REF!-#REF!</f>
        <v>#REF!</v>
      </c>
      <c r="S97" s="388" t="e">
        <f>#REF!-#REF!</f>
        <v>#REF!</v>
      </c>
      <c r="T97" s="388" t="e">
        <f>#REF!-#REF!</f>
        <v>#REF!</v>
      </c>
      <c r="U97" s="388" t="e">
        <f>#REF!-#REF!</f>
        <v>#REF!</v>
      </c>
      <c r="V97" s="388" t="e">
        <f>#REF!-#REF!</f>
        <v>#REF!</v>
      </c>
      <c r="W97" s="388" t="e">
        <f>#REF!-#REF!</f>
        <v>#REF!</v>
      </c>
      <c r="X97" s="388" t="e">
        <f>#REF!-#REF!</f>
        <v>#REF!</v>
      </c>
      <c r="Y97" s="388" t="e">
        <f>#REF!-#REF!</f>
        <v>#REF!</v>
      </c>
      <c r="Z97" s="388" t="e">
        <f>#REF!-#REF!</f>
        <v>#REF!</v>
      </c>
      <c r="AA97" s="388" t="e">
        <f>#REF!-#REF!</f>
        <v>#REF!</v>
      </c>
      <c r="AB97" s="388" t="e">
        <f>#REF!-#REF!</f>
        <v>#REF!</v>
      </c>
      <c r="AC97" s="388" t="e">
        <f>#REF!-#REF!</f>
        <v>#REF!</v>
      </c>
      <c r="AD97" s="388" t="e">
        <f>#REF!-#REF!</f>
        <v>#REF!</v>
      </c>
      <c r="AE97" s="388" t="e">
        <f>#REF!-#REF!</f>
        <v>#REF!</v>
      </c>
      <c r="AF97" s="388" t="e">
        <f>#REF!-#REF!</f>
        <v>#REF!</v>
      </c>
      <c r="AG97" s="388" t="e">
        <f>#REF!-#REF!</f>
        <v>#REF!</v>
      </c>
      <c r="AH97" s="388" t="e">
        <f>#REF!-#REF!</f>
        <v>#REF!</v>
      </c>
      <c r="AI97" s="388" t="e">
        <f>#REF!-#REF!</f>
        <v>#REF!</v>
      </c>
      <c r="AJ97" s="388" t="e">
        <f>#REF!-#REF!</f>
        <v>#REF!</v>
      </c>
      <c r="AK97" s="388" t="e">
        <f>#REF!-#REF!</f>
        <v>#REF!</v>
      </c>
      <c r="AL97" s="388" t="e">
        <f>#REF!-#REF!</f>
        <v>#REF!</v>
      </c>
      <c r="AM97" s="388" t="e">
        <f>#REF!-#REF!</f>
        <v>#REF!</v>
      </c>
      <c r="AN97" s="388" t="e">
        <f>#REF!-#REF!</f>
        <v>#REF!</v>
      </c>
      <c r="AO97" s="388" t="e">
        <f>#REF!-#REF!</f>
        <v>#REF!</v>
      </c>
      <c r="AP97" s="388" t="e">
        <f>#REF!-#REF!</f>
        <v>#REF!</v>
      </c>
      <c r="AQ97" s="388" t="e">
        <f>#REF!-#REF!</f>
        <v>#REF!</v>
      </c>
      <c r="AR97" s="388" t="e">
        <f>#REF!-#REF!</f>
        <v>#REF!</v>
      </c>
      <c r="AS97" s="388" t="e">
        <f>#REF!-#REF!</f>
        <v>#REF!</v>
      </c>
      <c r="AT97" s="388" t="e">
        <f>#REF!-#REF!</f>
        <v>#REF!</v>
      </c>
      <c r="AU97" s="388" t="e">
        <f>#REF!-#REF!</f>
        <v>#REF!</v>
      </c>
      <c r="AV97" s="388" t="e">
        <f>#REF!-#REF!</f>
        <v>#REF!</v>
      </c>
      <c r="AW97" s="388" t="e">
        <f>#REF!-#REF!</f>
        <v>#REF!</v>
      </c>
      <c r="AX97" s="388" t="e">
        <f>#REF!-#REF!</f>
        <v>#REF!</v>
      </c>
      <c r="AY97" s="388" t="e">
        <f>#REF!-#REF!</f>
        <v>#REF!</v>
      </c>
      <c r="AZ97" s="388" t="e">
        <f>#REF!-#REF!</f>
        <v>#REF!</v>
      </c>
      <c r="BA97" s="388" t="e">
        <f>#REF!-#REF!</f>
        <v>#REF!</v>
      </c>
      <c r="BB97" s="388" t="e">
        <f>#REF!-#REF!</f>
        <v>#REF!</v>
      </c>
      <c r="BC97" s="388" t="e">
        <f>#REF!-#REF!</f>
        <v>#REF!</v>
      </c>
      <c r="BD97" s="388" t="e">
        <f>#REF!-#REF!</f>
        <v>#REF!</v>
      </c>
      <c r="BE97" s="388" t="e">
        <f>#REF!-#REF!</f>
        <v>#REF!</v>
      </c>
      <c r="BF97" s="388" t="e">
        <f>#REF!-#REF!</f>
        <v>#REF!</v>
      </c>
      <c r="BG97" s="388" t="e">
        <f>#REF!-#REF!</f>
        <v>#REF!</v>
      </c>
      <c r="BH97" s="388" t="e">
        <f>#REF!-#REF!</f>
        <v>#REF!</v>
      </c>
      <c r="BI97" s="388" t="e">
        <f>#REF!-#REF!</f>
        <v>#REF!</v>
      </c>
      <c r="BJ97" s="388" t="e">
        <f>#REF!-#REF!</f>
        <v>#REF!</v>
      </c>
      <c r="BK97" s="388" t="e">
        <f>#REF!-#REF!</f>
        <v>#REF!</v>
      </c>
      <c r="BL97" s="388" t="e">
        <f>#REF!-#REF!</f>
        <v>#REF!</v>
      </c>
      <c r="BM97" s="388" t="e">
        <f>#REF!-#REF!</f>
        <v>#REF!</v>
      </c>
      <c r="BN97" s="388" t="e">
        <f>#REF!-#REF!</f>
        <v>#REF!</v>
      </c>
      <c r="BO97" s="388" t="e">
        <f>#REF!-#REF!</f>
        <v>#REF!</v>
      </c>
      <c r="BP97" s="388" t="e">
        <f>#REF!-#REF!</f>
        <v>#REF!</v>
      </c>
      <c r="BQ97" s="388" t="e">
        <f>#REF!-#REF!</f>
        <v>#REF!</v>
      </c>
      <c r="BR97" s="388" t="e">
        <f>#REF!-#REF!</f>
        <v>#REF!</v>
      </c>
      <c r="BS97" s="388" t="e">
        <f>#REF!-#REF!</f>
        <v>#REF!</v>
      </c>
      <c r="BT97" s="388" t="e">
        <f>#REF!-#REF!</f>
        <v>#REF!</v>
      </c>
      <c r="BU97" s="388" t="e">
        <f>#REF!-#REF!</f>
        <v>#REF!</v>
      </c>
      <c r="BV97" s="388"/>
      <c r="BW97" s="388">
        <f>-[39]domredemp!BV101+[39]domredemp!BV211</f>
        <v>0</v>
      </c>
      <c r="DH97" s="38"/>
    </row>
    <row r="98" spans="13:112" hidden="1" x14ac:dyDescent="0.3">
      <c r="M98" s="388" t="e">
        <f>M27-#REF!</f>
        <v>#REF!</v>
      </c>
      <c r="N98" s="388" t="e">
        <f>N27-#REF!</f>
        <v>#REF!</v>
      </c>
      <c r="O98" s="388" t="e">
        <f>O27-#REF!</f>
        <v>#REF!</v>
      </c>
      <c r="P98" s="388" t="e">
        <f>P27-#REF!</f>
        <v>#REF!</v>
      </c>
      <c r="Q98" s="388" t="e">
        <f>Q27-#REF!</f>
        <v>#REF!</v>
      </c>
      <c r="R98" s="388" t="e">
        <f>R27-#REF!</f>
        <v>#REF!</v>
      </c>
      <c r="S98" s="388" t="e">
        <f>S27-#REF!</f>
        <v>#REF!</v>
      </c>
      <c r="T98" s="388" t="e">
        <f>T27-#REF!</f>
        <v>#REF!</v>
      </c>
      <c r="U98" s="388" t="e">
        <f>U27-#REF!</f>
        <v>#REF!</v>
      </c>
      <c r="V98" s="388" t="e">
        <f>V27-#REF!</f>
        <v>#REF!</v>
      </c>
      <c r="W98" s="388" t="e">
        <f>W27-#REF!</f>
        <v>#REF!</v>
      </c>
      <c r="X98" s="388" t="e">
        <f>X27-#REF!</f>
        <v>#REF!</v>
      </c>
      <c r="Y98" s="388" t="e">
        <f>Y27-#REF!</f>
        <v>#REF!</v>
      </c>
      <c r="Z98" s="388" t="e">
        <f>Z27-#REF!</f>
        <v>#REF!</v>
      </c>
      <c r="AA98" s="388" t="e">
        <f>AA27-#REF!</f>
        <v>#REF!</v>
      </c>
      <c r="AB98" s="388" t="e">
        <f>AB27-#REF!</f>
        <v>#REF!</v>
      </c>
      <c r="AC98" s="388" t="e">
        <f>AC27-#REF!</f>
        <v>#REF!</v>
      </c>
      <c r="AD98" s="388" t="e">
        <f>AD27-#REF!</f>
        <v>#REF!</v>
      </c>
      <c r="AE98" s="388">
        <f>AE27-BX27</f>
        <v>0</v>
      </c>
      <c r="AF98" s="388">
        <f>AF27-BY27</f>
        <v>0</v>
      </c>
      <c r="AG98" s="388">
        <f>AG27-BZ27</f>
        <v>104748</v>
      </c>
      <c r="AH98" s="388">
        <f>AH27-CA27</f>
        <v>0</v>
      </c>
      <c r="AI98" s="388">
        <f>AI27-CB27</f>
        <v>0</v>
      </c>
      <c r="AJ98" s="388">
        <f>AJ27-CC27</f>
        <v>0</v>
      </c>
      <c r="AK98" s="388">
        <f>AK27-CD27</f>
        <v>0</v>
      </c>
      <c r="AL98" s="388">
        <f>AL27-CE27</f>
        <v>241378</v>
      </c>
      <c r="AM98" s="388">
        <f>AM27-CF27</f>
        <v>0</v>
      </c>
      <c r="AN98" s="388">
        <f>AN27-CG27</f>
        <v>0</v>
      </c>
      <c r="AO98" s="388">
        <f>AO27-CH27</f>
        <v>0</v>
      </c>
      <c r="AP98" s="388">
        <f>AP27-CI27</f>
        <v>0</v>
      </c>
      <c r="AQ98" s="388">
        <f>AQ27-CJ27</f>
        <v>-142358</v>
      </c>
      <c r="AR98" s="388">
        <f>AR27-CK27</f>
        <v>0</v>
      </c>
      <c r="AS98" s="388">
        <f>AS27-CL27</f>
        <v>0</v>
      </c>
      <c r="AT98" s="388">
        <f>AT27-CM27</f>
        <v>0</v>
      </c>
      <c r="AU98" s="388">
        <f>AU27-CN27</f>
        <v>0</v>
      </c>
      <c r="AV98" s="388">
        <f>AV27-CO27</f>
        <v>58546</v>
      </c>
      <c r="AW98" s="388">
        <f>AW27-CP27</f>
        <v>0</v>
      </c>
      <c r="AX98" s="388">
        <f>AX27-CQ27</f>
        <v>0</v>
      </c>
      <c r="AY98" s="388">
        <f>AY27-CR27</f>
        <v>0</v>
      </c>
      <c r="AZ98" s="388">
        <f>AZ27-CS27</f>
        <v>0</v>
      </c>
      <c r="BA98" s="388">
        <f>BA27-CT27</f>
        <v>275994</v>
      </c>
      <c r="BB98" s="388">
        <f>BB27-CU27</f>
        <v>0</v>
      </c>
      <c r="BC98" s="388">
        <f>BC27-CV27</f>
        <v>0</v>
      </c>
      <c r="BD98" s="388">
        <f>BD27-CW27</f>
        <v>0</v>
      </c>
      <c r="BE98" s="388">
        <f>BE27-CX27</f>
        <v>0</v>
      </c>
      <c r="BF98" s="388">
        <f>BF27-CY27</f>
        <v>15731765</v>
      </c>
      <c r="BG98" s="388">
        <f>BG27-CZ27</f>
        <v>0</v>
      </c>
      <c r="BH98" s="388">
        <f>BH27-DA27</f>
        <v>0</v>
      </c>
      <c r="BI98" s="388">
        <f>BI27-DB27</f>
        <v>0</v>
      </c>
      <c r="BJ98" s="388">
        <f>BJ27-DC27</f>
        <v>0</v>
      </c>
      <c r="BK98" s="388">
        <f>BK27-DD27</f>
        <v>-41200</v>
      </c>
      <c r="BL98" s="388">
        <f>BL27-DE27</f>
        <v>0</v>
      </c>
      <c r="BM98" s="388">
        <f>BM27-DF27</f>
        <v>0</v>
      </c>
      <c r="BN98" s="388" t="e">
        <f>BN27-#REF!</f>
        <v>#REF!</v>
      </c>
      <c r="BO98" s="388" t="e">
        <f>BO27-#REF!</f>
        <v>#REF!</v>
      </c>
      <c r="BP98" s="388" t="e">
        <f>BP27-#REF!</f>
        <v>#REF!</v>
      </c>
      <c r="BQ98" s="388" t="e">
        <f>BQ27-#REF!</f>
        <v>#REF!</v>
      </c>
      <c r="BR98" s="388" t="e">
        <f>BR27-#REF!</f>
        <v>#REF!</v>
      </c>
      <c r="BS98" s="388" t="e">
        <f>BS27-#REF!</f>
        <v>#REF!</v>
      </c>
      <c r="BT98" s="388" t="e">
        <f>BT27-#REF!</f>
        <v>#REF!</v>
      </c>
      <c r="BU98" s="388" t="e">
        <f>BU27-#REF!</f>
        <v>#REF!</v>
      </c>
      <c r="BV98" s="388"/>
      <c r="BW98" s="388"/>
      <c r="DH98" s="38"/>
    </row>
    <row r="99" spans="13:112" hidden="1" x14ac:dyDescent="0.3">
      <c r="M99" s="388" t="e">
        <f>M28-#REF!</f>
        <v>#REF!</v>
      </c>
      <c r="N99" s="388" t="e">
        <f>N28-#REF!</f>
        <v>#REF!</v>
      </c>
      <c r="O99" s="388" t="e">
        <f>O28-#REF!</f>
        <v>#REF!</v>
      </c>
      <c r="P99" s="388" t="e">
        <f>P28-#REF!</f>
        <v>#REF!</v>
      </c>
      <c r="Q99" s="388" t="e">
        <f>Q28-#REF!</f>
        <v>#REF!</v>
      </c>
      <c r="R99" s="388" t="e">
        <f>R28-#REF!</f>
        <v>#REF!</v>
      </c>
      <c r="S99" s="388" t="e">
        <f>S28-#REF!</f>
        <v>#REF!</v>
      </c>
      <c r="T99" s="388" t="e">
        <f>T28-#REF!</f>
        <v>#REF!</v>
      </c>
      <c r="U99" s="388" t="e">
        <f>U28-#REF!</f>
        <v>#REF!</v>
      </c>
      <c r="V99" s="388" t="e">
        <f>V28-#REF!</f>
        <v>#REF!</v>
      </c>
      <c r="W99" s="388" t="e">
        <f>W28-#REF!</f>
        <v>#REF!</v>
      </c>
      <c r="X99" s="388" t="e">
        <f>X28-#REF!</f>
        <v>#REF!</v>
      </c>
      <c r="Y99" s="388" t="e">
        <f>Y28-#REF!</f>
        <v>#REF!</v>
      </c>
      <c r="Z99" s="388" t="e">
        <f>Z28-#REF!</f>
        <v>#REF!</v>
      </c>
      <c r="AA99" s="388" t="e">
        <f>AA28-#REF!</f>
        <v>#REF!</v>
      </c>
      <c r="AB99" s="388" t="e">
        <f>AB28-#REF!</f>
        <v>#REF!</v>
      </c>
      <c r="AC99" s="388" t="e">
        <f>AC28-#REF!</f>
        <v>#REF!</v>
      </c>
      <c r="AD99" s="388" t="e">
        <f>AD28-#REF!</f>
        <v>#REF!</v>
      </c>
      <c r="AE99" s="388">
        <f>AE28-BX28</f>
        <v>0</v>
      </c>
      <c r="AF99" s="388">
        <f>AF28-BY28</f>
        <v>0</v>
      </c>
      <c r="AG99" s="388">
        <f>AG28-BZ28</f>
        <v>0</v>
      </c>
      <c r="AH99" s="388">
        <f>AH28-CA28</f>
        <v>0</v>
      </c>
      <c r="AI99" s="388">
        <f>AI28-CB28</f>
        <v>0</v>
      </c>
      <c r="AJ99" s="388">
        <f>AJ28-CC28</f>
        <v>0</v>
      </c>
      <c r="AK99" s="388">
        <f>AK28-CD28</f>
        <v>0</v>
      </c>
      <c r="AL99" s="388">
        <f>AL28-CE28</f>
        <v>0</v>
      </c>
      <c r="AM99" s="388">
        <f>AM28-CF28</f>
        <v>0</v>
      </c>
      <c r="AN99" s="388">
        <f>AN28-CG28</f>
        <v>0</v>
      </c>
      <c r="AO99" s="388">
        <f>AO28-CH28</f>
        <v>0</v>
      </c>
      <c r="AP99" s="388">
        <f>AP28-CI28</f>
        <v>0</v>
      </c>
      <c r="AQ99" s="388">
        <f>AQ28-CJ28</f>
        <v>0</v>
      </c>
      <c r="AR99" s="388">
        <f>AR28-CK28</f>
        <v>0</v>
      </c>
      <c r="AS99" s="388">
        <f>AS28-CL28</f>
        <v>0</v>
      </c>
      <c r="AT99" s="388">
        <f>AT28-CM28</f>
        <v>0</v>
      </c>
      <c r="AU99" s="388">
        <f>AU28-CN28</f>
        <v>0</v>
      </c>
      <c r="AV99" s="388">
        <f>AV28-CO28</f>
        <v>0</v>
      </c>
      <c r="AW99" s="388">
        <f>AW28-CP28</f>
        <v>0</v>
      </c>
      <c r="AX99" s="388">
        <f>AX28-CQ28</f>
        <v>0</v>
      </c>
      <c r="AY99" s="388">
        <f>AY28-CR28</f>
        <v>0</v>
      </c>
      <c r="AZ99" s="388">
        <f>AZ28-CS28</f>
        <v>0</v>
      </c>
      <c r="BA99" s="388">
        <f>BA28-CT28</f>
        <v>0</v>
      </c>
      <c r="BB99" s="388">
        <f>BB28-CU28</f>
        <v>0</v>
      </c>
      <c r="BC99" s="388">
        <f>BC28-CV28</f>
        <v>0</v>
      </c>
      <c r="BD99" s="388">
        <f>BD28-CW28</f>
        <v>0</v>
      </c>
      <c r="BE99" s="388">
        <f>BE28-CX28</f>
        <v>0</v>
      </c>
      <c r="BF99" s="388">
        <f>BF28-CY28</f>
        <v>0</v>
      </c>
      <c r="BG99" s="388">
        <f>BG28-CZ28</f>
        <v>0</v>
      </c>
      <c r="BH99" s="388">
        <f>BH28-DA28</f>
        <v>0</v>
      </c>
      <c r="BI99" s="388">
        <f>BI28-DB28</f>
        <v>0</v>
      </c>
      <c r="BJ99" s="388">
        <f>BJ28-DC28</f>
        <v>0</v>
      </c>
      <c r="BK99" s="388">
        <f>BK28-DD28</f>
        <v>0</v>
      </c>
      <c r="BL99" s="388">
        <f>BL28-DE28</f>
        <v>0</v>
      </c>
      <c r="BM99" s="388">
        <f>BM28-DF28</f>
        <v>0</v>
      </c>
      <c r="BN99" s="388" t="e">
        <f>BN28-#REF!</f>
        <v>#REF!</v>
      </c>
      <c r="BO99" s="388" t="e">
        <f>BO28-#REF!</f>
        <v>#REF!</v>
      </c>
      <c r="BP99" s="388" t="e">
        <f>BP28-#REF!</f>
        <v>#REF!</v>
      </c>
      <c r="BQ99" s="388" t="e">
        <f>BQ28-#REF!</f>
        <v>#REF!</v>
      </c>
      <c r="BR99" s="388" t="e">
        <f>BR28-#REF!</f>
        <v>#REF!</v>
      </c>
      <c r="BS99" s="388" t="e">
        <f>BS28-#REF!</f>
        <v>#REF!</v>
      </c>
      <c r="BT99" s="388" t="e">
        <f>BT28-#REF!</f>
        <v>#REF!</v>
      </c>
      <c r="BU99" s="388" t="e">
        <f>BU28-#REF!</f>
        <v>#REF!</v>
      </c>
      <c r="BV99" s="388"/>
      <c r="BW99" s="388">
        <f>SUM(BW100:BW102)</f>
        <v>0</v>
      </c>
      <c r="DH99" s="38"/>
    </row>
    <row r="100" spans="13:112" hidden="1" x14ac:dyDescent="0.3">
      <c r="M100" s="388" t="e">
        <f>M29-#REF!</f>
        <v>#REF!</v>
      </c>
      <c r="N100" s="388" t="e">
        <f>N29-#REF!</f>
        <v>#REF!</v>
      </c>
      <c r="O100" s="388" t="e">
        <f>O29-#REF!</f>
        <v>#REF!</v>
      </c>
      <c r="P100" s="388" t="e">
        <f>P29-#REF!</f>
        <v>#REF!</v>
      </c>
      <c r="Q100" s="388" t="e">
        <f>Q29-#REF!</f>
        <v>#REF!</v>
      </c>
      <c r="R100" s="388" t="e">
        <f>R29-#REF!</f>
        <v>#REF!</v>
      </c>
      <c r="S100" s="388" t="e">
        <f>S29-#REF!</f>
        <v>#REF!</v>
      </c>
      <c r="T100" s="388" t="e">
        <f>T29-#REF!</f>
        <v>#REF!</v>
      </c>
      <c r="U100" s="388" t="e">
        <f>U29-#REF!</f>
        <v>#REF!</v>
      </c>
      <c r="V100" s="388" t="e">
        <f>V29-#REF!</f>
        <v>#REF!</v>
      </c>
      <c r="W100" s="388" t="e">
        <f>W29-#REF!</f>
        <v>#REF!</v>
      </c>
      <c r="X100" s="388" t="e">
        <f>X29-#REF!</f>
        <v>#REF!</v>
      </c>
      <c r="Y100" s="388" t="e">
        <f>Y29-#REF!</f>
        <v>#REF!</v>
      </c>
      <c r="Z100" s="388" t="e">
        <f>Z29-#REF!</f>
        <v>#REF!</v>
      </c>
      <c r="AA100" s="388" t="e">
        <f>AA29-#REF!</f>
        <v>#REF!</v>
      </c>
      <c r="AB100" s="388" t="e">
        <f>AB29-#REF!</f>
        <v>#REF!</v>
      </c>
      <c r="AC100" s="388" t="e">
        <f>AC29-#REF!</f>
        <v>#REF!</v>
      </c>
      <c r="AD100" s="388" t="e">
        <f>AD29-#REF!</f>
        <v>#REF!</v>
      </c>
      <c r="AE100" s="388">
        <f>AE29-BX29</f>
        <v>0</v>
      </c>
      <c r="AF100" s="388">
        <f>AF29-BY29</f>
        <v>0</v>
      </c>
      <c r="AG100" s="388">
        <f>AG29-BZ29</f>
        <v>0</v>
      </c>
      <c r="AH100" s="388">
        <f>AH29-CA29</f>
        <v>0</v>
      </c>
      <c r="AI100" s="388">
        <f>AI29-CB29</f>
        <v>0</v>
      </c>
      <c r="AJ100" s="388">
        <f>AJ29-CC29</f>
        <v>0</v>
      </c>
      <c r="AK100" s="388">
        <f>AK29-CD29</f>
        <v>0</v>
      </c>
      <c r="AL100" s="388">
        <f>AL29-CE29</f>
        <v>0</v>
      </c>
      <c r="AM100" s="388">
        <f>AM29-CF29</f>
        <v>0</v>
      </c>
      <c r="AN100" s="388">
        <f>AN29-CG29</f>
        <v>0</v>
      </c>
      <c r="AO100" s="388">
        <f>AO29-CH29</f>
        <v>0</v>
      </c>
      <c r="AP100" s="388">
        <f>AP29-CI29</f>
        <v>0</v>
      </c>
      <c r="AQ100" s="388">
        <f>AQ29-CJ29</f>
        <v>0</v>
      </c>
      <c r="AR100" s="388">
        <f>AR29-CK29</f>
        <v>0</v>
      </c>
      <c r="AS100" s="388">
        <f>AS29-CL29</f>
        <v>0</v>
      </c>
      <c r="AT100" s="388">
        <f>AT29-CM29</f>
        <v>0</v>
      </c>
      <c r="AU100" s="388">
        <f>AU29-CN29</f>
        <v>0</v>
      </c>
      <c r="AV100" s="388">
        <f>AV29-CO29</f>
        <v>0</v>
      </c>
      <c r="AW100" s="388">
        <f>AW29-CP29</f>
        <v>0</v>
      </c>
      <c r="AX100" s="388">
        <f>AX29-CQ29</f>
        <v>0</v>
      </c>
      <c r="AY100" s="388">
        <f>AY29-CR29</f>
        <v>0</v>
      </c>
      <c r="AZ100" s="388">
        <f>AZ29-CS29</f>
        <v>0</v>
      </c>
      <c r="BA100" s="388">
        <f>BA29-CT29</f>
        <v>0</v>
      </c>
      <c r="BB100" s="388">
        <f>BB29-CU29</f>
        <v>0</v>
      </c>
      <c r="BC100" s="388">
        <f>BC29-CV29</f>
        <v>0</v>
      </c>
      <c r="BD100" s="388">
        <f>BD29-CW29</f>
        <v>0</v>
      </c>
      <c r="BE100" s="388">
        <f>BE29-CX29</f>
        <v>0</v>
      </c>
      <c r="BF100" s="388">
        <f>BF29-CY29</f>
        <v>0</v>
      </c>
      <c r="BG100" s="388">
        <f>BG29-CZ29</f>
        <v>0</v>
      </c>
      <c r="BH100" s="388">
        <f>BH29-DA29</f>
        <v>0</v>
      </c>
      <c r="BI100" s="388">
        <f>BI29-DB29</f>
        <v>0</v>
      </c>
      <c r="BJ100" s="388">
        <f>BJ29-DC29</f>
        <v>0</v>
      </c>
      <c r="BK100" s="388">
        <f>BK29-DD29</f>
        <v>0</v>
      </c>
      <c r="BL100" s="388">
        <f>BL29-DE29</f>
        <v>0</v>
      </c>
      <c r="BM100" s="388">
        <f>BM29-DF29</f>
        <v>0</v>
      </c>
      <c r="BN100" s="388" t="e">
        <f>BN29-#REF!</f>
        <v>#REF!</v>
      </c>
      <c r="BO100" s="388" t="e">
        <f>BO29-#REF!</f>
        <v>#REF!</v>
      </c>
      <c r="BP100" s="388" t="e">
        <f>BP29-#REF!</f>
        <v>#REF!</v>
      </c>
      <c r="BQ100" s="388" t="e">
        <f>BQ29-#REF!</f>
        <v>#REF!</v>
      </c>
      <c r="BR100" s="388" t="e">
        <f>BR29-#REF!</f>
        <v>#REF!</v>
      </c>
      <c r="BS100" s="388" t="e">
        <f>BS29-#REF!</f>
        <v>#REF!</v>
      </c>
      <c r="BT100" s="388" t="e">
        <f>BT29-#REF!</f>
        <v>#REF!</v>
      </c>
      <c r="BU100" s="388" t="e">
        <f>BU29-#REF!</f>
        <v>#REF!</v>
      </c>
      <c r="BV100" s="388"/>
      <c r="BW100" s="388">
        <f>[39]domlongtermissues!BV97</f>
        <v>0</v>
      </c>
      <c r="DH100" s="38"/>
    </row>
    <row r="101" spans="13:112" hidden="1" x14ac:dyDescent="0.3">
      <c r="M101" s="388" t="e">
        <f>M30-#REF!</f>
        <v>#REF!</v>
      </c>
      <c r="N101" s="388" t="e">
        <f>N30-#REF!</f>
        <v>#REF!</v>
      </c>
      <c r="O101" s="388" t="e">
        <f>O30-#REF!</f>
        <v>#REF!</v>
      </c>
      <c r="P101" s="388" t="e">
        <f>P30-#REF!</f>
        <v>#REF!</v>
      </c>
      <c r="Q101" s="388" t="e">
        <f>Q30-#REF!</f>
        <v>#REF!</v>
      </c>
      <c r="R101" s="388" t="e">
        <f>R30-#REF!</f>
        <v>#REF!</v>
      </c>
      <c r="S101" s="388" t="e">
        <f>S30-#REF!</f>
        <v>#REF!</v>
      </c>
      <c r="T101" s="388" t="e">
        <f>T30-#REF!</f>
        <v>#REF!</v>
      </c>
      <c r="U101" s="388" t="e">
        <f>U30-#REF!</f>
        <v>#REF!</v>
      </c>
      <c r="V101" s="388" t="e">
        <f>V30-#REF!</f>
        <v>#REF!</v>
      </c>
      <c r="W101" s="388" t="e">
        <f>W30-#REF!</f>
        <v>#REF!</v>
      </c>
      <c r="X101" s="388" t="e">
        <f>X30-#REF!</f>
        <v>#REF!</v>
      </c>
      <c r="Y101" s="388" t="e">
        <f>Y30-#REF!</f>
        <v>#REF!</v>
      </c>
      <c r="Z101" s="388" t="e">
        <f>Z30-#REF!</f>
        <v>#REF!</v>
      </c>
      <c r="AA101" s="388" t="e">
        <f>AA30-#REF!</f>
        <v>#REF!</v>
      </c>
      <c r="AB101" s="388" t="e">
        <f>AB30-#REF!</f>
        <v>#REF!</v>
      </c>
      <c r="AC101" s="388" t="e">
        <f>AC30-#REF!</f>
        <v>#REF!</v>
      </c>
      <c r="AD101" s="388" t="e">
        <f>AD30-#REF!</f>
        <v>#REF!</v>
      </c>
      <c r="AE101" s="388">
        <f>AE30-BX30</f>
        <v>0</v>
      </c>
      <c r="AF101" s="388">
        <f>AF30-BY30</f>
        <v>0</v>
      </c>
      <c r="AG101" s="388">
        <f>AG30-BZ30</f>
        <v>0</v>
      </c>
      <c r="AH101" s="388">
        <f>AH30-CA30</f>
        <v>0</v>
      </c>
      <c r="AI101" s="388">
        <f>AI30-CB30</f>
        <v>0</v>
      </c>
      <c r="AJ101" s="388">
        <f>AJ30-CC30</f>
        <v>0</v>
      </c>
      <c r="AK101" s="388">
        <f>AK30-CD30</f>
        <v>0</v>
      </c>
      <c r="AL101" s="388">
        <f>AL30-CE30</f>
        <v>0</v>
      </c>
      <c r="AM101" s="388">
        <f>AM30-CF30</f>
        <v>0</v>
      </c>
      <c r="AN101" s="388">
        <f>AN30-CG30</f>
        <v>0</v>
      </c>
      <c r="AO101" s="388">
        <f>AO30-CH30</f>
        <v>0</v>
      </c>
      <c r="AP101" s="388">
        <f>AP30-CI30</f>
        <v>0</v>
      </c>
      <c r="AQ101" s="388">
        <f>AQ30-CJ30</f>
        <v>0</v>
      </c>
      <c r="AR101" s="388">
        <f>AR30-CK30</f>
        <v>0</v>
      </c>
      <c r="AS101" s="388">
        <f>AS30-CL30</f>
        <v>0</v>
      </c>
      <c r="AT101" s="388">
        <f>AT30-CM30</f>
        <v>0</v>
      </c>
      <c r="AU101" s="388">
        <f>AU30-CN30</f>
        <v>0</v>
      </c>
      <c r="AV101" s="388">
        <f>AV30-CO30</f>
        <v>0</v>
      </c>
      <c r="AW101" s="388">
        <f>AW30-CP30</f>
        <v>0</v>
      </c>
      <c r="AX101" s="388">
        <f>AX30-CQ30</f>
        <v>0</v>
      </c>
      <c r="AY101" s="388">
        <f>AY30-CR30</f>
        <v>0</v>
      </c>
      <c r="AZ101" s="388">
        <f>AZ30-CS30</f>
        <v>0</v>
      </c>
      <c r="BA101" s="388">
        <f>BA30-CT30</f>
        <v>0</v>
      </c>
      <c r="BB101" s="388">
        <f>BB30-CU30</f>
        <v>0</v>
      </c>
      <c r="BC101" s="388">
        <f>BC30-CV30</f>
        <v>0</v>
      </c>
      <c r="BD101" s="388">
        <f>BD30-CW30</f>
        <v>0</v>
      </c>
      <c r="BE101" s="388">
        <f>BE30-CX30</f>
        <v>0</v>
      </c>
      <c r="BF101" s="388">
        <f>BF30-CY30</f>
        <v>0</v>
      </c>
      <c r="BG101" s="388">
        <f>BG30-CZ30</f>
        <v>0</v>
      </c>
      <c r="BH101" s="388">
        <f>BH30-DA30</f>
        <v>0</v>
      </c>
      <c r="BI101" s="388">
        <f>BI30-DB30</f>
        <v>0</v>
      </c>
      <c r="BJ101" s="388">
        <f>BJ30-DC30</f>
        <v>0</v>
      </c>
      <c r="BK101" s="388">
        <f>BK30-DD30</f>
        <v>41714</v>
      </c>
      <c r="BL101" s="388">
        <f>BL30-DE30</f>
        <v>0</v>
      </c>
      <c r="BM101" s="388">
        <f>BM30-DF30</f>
        <v>0</v>
      </c>
      <c r="BN101" s="388" t="e">
        <f>BN30-#REF!</f>
        <v>#REF!</v>
      </c>
      <c r="BO101" s="388" t="e">
        <f>BO30-#REF!</f>
        <v>#REF!</v>
      </c>
      <c r="BP101" s="388" t="e">
        <f>BP30-#REF!</f>
        <v>#REF!</v>
      </c>
      <c r="BQ101" s="388" t="e">
        <f>BQ30-#REF!</f>
        <v>#REF!</v>
      </c>
      <c r="BR101" s="388" t="e">
        <f>BR30-#REF!</f>
        <v>#REF!</v>
      </c>
      <c r="BS101" s="388" t="e">
        <f>BS30-#REF!</f>
        <v>#REF!</v>
      </c>
      <c r="BT101" s="388" t="e">
        <f>BT30-#REF!</f>
        <v>#REF!</v>
      </c>
      <c r="BU101" s="388" t="e">
        <f>BU30-#REF!</f>
        <v>#REF!</v>
      </c>
      <c r="BV101" s="388"/>
      <c r="BW101" s="388">
        <f>-[39]domlongtermissues!BV286</f>
        <v>0</v>
      </c>
      <c r="DH101" s="38"/>
    </row>
    <row r="102" spans="13:112" hidden="1" x14ac:dyDescent="0.3">
      <c r="M102" s="388" t="e">
        <f>M31-#REF!</f>
        <v>#REF!</v>
      </c>
      <c r="N102" s="388" t="e">
        <f>N31-#REF!</f>
        <v>#REF!</v>
      </c>
      <c r="O102" s="388" t="e">
        <f>O31-#REF!</f>
        <v>#REF!</v>
      </c>
      <c r="P102" s="388" t="e">
        <f>P31-#REF!</f>
        <v>#REF!</v>
      </c>
      <c r="Q102" s="388" t="e">
        <f>Q31-#REF!</f>
        <v>#REF!</v>
      </c>
      <c r="R102" s="388" t="e">
        <f>R31-#REF!</f>
        <v>#REF!</v>
      </c>
      <c r="S102" s="388" t="e">
        <f>S31-#REF!</f>
        <v>#REF!</v>
      </c>
      <c r="T102" s="388" t="e">
        <f>T31-#REF!</f>
        <v>#REF!</v>
      </c>
      <c r="U102" s="388" t="e">
        <f>U31-#REF!</f>
        <v>#REF!</v>
      </c>
      <c r="V102" s="388" t="e">
        <f>V31-#REF!</f>
        <v>#REF!</v>
      </c>
      <c r="W102" s="388" t="e">
        <f>W31-#REF!</f>
        <v>#REF!</v>
      </c>
      <c r="X102" s="388" t="e">
        <f>X31-#REF!</f>
        <v>#REF!</v>
      </c>
      <c r="Y102" s="388" t="e">
        <f>Y31-#REF!</f>
        <v>#REF!</v>
      </c>
      <c r="Z102" s="388" t="e">
        <f>Z31-#REF!</f>
        <v>#REF!</v>
      </c>
      <c r="AA102" s="388" t="e">
        <f>AA31-#REF!</f>
        <v>#REF!</v>
      </c>
      <c r="AB102" s="388" t="e">
        <f>AB31-#REF!</f>
        <v>#REF!</v>
      </c>
      <c r="AC102" s="388" t="e">
        <f>AC31-#REF!</f>
        <v>#REF!</v>
      </c>
      <c r="AD102" s="388" t="e">
        <f>AD31-#REF!</f>
        <v>#REF!</v>
      </c>
      <c r="AE102" s="388">
        <f>AE31-BX31</f>
        <v>0</v>
      </c>
      <c r="AF102" s="388">
        <f>AF31-BY31</f>
        <v>0</v>
      </c>
      <c r="AG102" s="388">
        <f>AG31-BZ31</f>
        <v>0</v>
      </c>
      <c r="AH102" s="388">
        <f>AH31-CA31</f>
        <v>0</v>
      </c>
      <c r="AI102" s="388">
        <f>AI31-CB31</f>
        <v>0</v>
      </c>
      <c r="AJ102" s="388">
        <f>AJ31-CC31</f>
        <v>0</v>
      </c>
      <c r="AK102" s="388">
        <f>AK31-CD31</f>
        <v>0</v>
      </c>
      <c r="AL102" s="388">
        <f>AL31-CE31</f>
        <v>0</v>
      </c>
      <c r="AM102" s="388">
        <f>AM31-CF31</f>
        <v>0</v>
      </c>
      <c r="AN102" s="388">
        <f>AN31-CG31</f>
        <v>0</v>
      </c>
      <c r="AO102" s="388">
        <f>AO31-CH31</f>
        <v>0</v>
      </c>
      <c r="AP102" s="388">
        <f>AP31-CI31</f>
        <v>0</v>
      </c>
      <c r="AQ102" s="388">
        <f>AQ31-CJ31</f>
        <v>0</v>
      </c>
      <c r="AR102" s="388">
        <f>AR31-CK31</f>
        <v>0</v>
      </c>
      <c r="AS102" s="388">
        <f>AS31-CL31</f>
        <v>0</v>
      </c>
      <c r="AT102" s="388">
        <f>AT31-CM31</f>
        <v>0</v>
      </c>
      <c r="AU102" s="388">
        <f>AU31-CN31</f>
        <v>0</v>
      </c>
      <c r="AV102" s="388">
        <f>AV31-CO31</f>
        <v>0</v>
      </c>
      <c r="AW102" s="388">
        <f>AW31-CP31</f>
        <v>0</v>
      </c>
      <c r="AX102" s="388">
        <f>AX31-CQ31</f>
        <v>0</v>
      </c>
      <c r="AY102" s="388">
        <f>AY31-CR31</f>
        <v>0</v>
      </c>
      <c r="AZ102" s="388">
        <f>AZ31-CS31</f>
        <v>0</v>
      </c>
      <c r="BA102" s="388">
        <f>BA31-CT31</f>
        <v>0</v>
      </c>
      <c r="BB102" s="388">
        <f>BB31-CU31</f>
        <v>0</v>
      </c>
      <c r="BC102" s="388">
        <f>BC31-CV31</f>
        <v>0</v>
      </c>
      <c r="BD102" s="388">
        <f>BD31-CW31</f>
        <v>0</v>
      </c>
      <c r="BE102" s="388">
        <f>BE31-CX31</f>
        <v>0</v>
      </c>
      <c r="BF102" s="388">
        <f>BF31-CY31</f>
        <v>0</v>
      </c>
      <c r="BG102" s="388">
        <f>BG31-CZ31</f>
        <v>0</v>
      </c>
      <c r="BH102" s="388">
        <f>BH31-DA31</f>
        <v>0</v>
      </c>
      <c r="BI102" s="388">
        <f>BI31-DB31</f>
        <v>0</v>
      </c>
      <c r="BJ102" s="388">
        <f>BJ31-DC31</f>
        <v>0</v>
      </c>
      <c r="BK102" s="388">
        <f>BK31-DD31</f>
        <v>7577210</v>
      </c>
      <c r="BL102" s="388">
        <f>BL31-DE31</f>
        <v>0</v>
      </c>
      <c r="BM102" s="388">
        <f>BM31-DF31</f>
        <v>0</v>
      </c>
      <c r="BN102" s="388" t="e">
        <f>BN31-#REF!</f>
        <v>#REF!</v>
      </c>
      <c r="BO102" s="388" t="e">
        <f>BO31-#REF!</f>
        <v>#REF!</v>
      </c>
      <c r="BP102" s="388" t="e">
        <f>BP31-#REF!</f>
        <v>#REF!</v>
      </c>
      <c r="BQ102" s="388" t="e">
        <f>BQ31-#REF!</f>
        <v>#REF!</v>
      </c>
      <c r="BR102" s="388" t="e">
        <f>BR31-#REF!</f>
        <v>#REF!</v>
      </c>
      <c r="BS102" s="388" t="e">
        <f>BS31-#REF!</f>
        <v>#REF!</v>
      </c>
      <c r="BT102" s="388" t="e">
        <f>BT31-#REF!</f>
        <v>#REF!</v>
      </c>
      <c r="BU102" s="388" t="e">
        <f>BU31-#REF!</f>
        <v>#REF!</v>
      </c>
      <c r="BV102" s="388"/>
      <c r="BW102" s="388">
        <f>-[39]domredemp!BV99+[39]domredemp!BV119</f>
        <v>0</v>
      </c>
      <c r="DH102" s="38"/>
    </row>
    <row r="103" spans="13:112" hidden="1" x14ac:dyDescent="0.3">
      <c r="M103" s="388" t="e">
        <f>M32-#REF!</f>
        <v>#REF!</v>
      </c>
      <c r="N103" s="388" t="e">
        <f>N32-#REF!</f>
        <v>#REF!</v>
      </c>
      <c r="O103" s="388" t="e">
        <f>O32-#REF!</f>
        <v>#REF!</v>
      </c>
      <c r="P103" s="388" t="e">
        <f>P32-#REF!</f>
        <v>#REF!</v>
      </c>
      <c r="Q103" s="388" t="e">
        <f>Q32-#REF!</f>
        <v>#REF!</v>
      </c>
      <c r="R103" s="388" t="e">
        <f>R32-#REF!</f>
        <v>#REF!</v>
      </c>
      <c r="S103" s="388" t="e">
        <f>S32-#REF!</f>
        <v>#REF!</v>
      </c>
      <c r="T103" s="388" t="e">
        <f>T32-#REF!</f>
        <v>#REF!</v>
      </c>
      <c r="U103" s="388" t="e">
        <f>U32-#REF!</f>
        <v>#REF!</v>
      </c>
      <c r="V103" s="388" t="e">
        <f>V32-#REF!</f>
        <v>#REF!</v>
      </c>
      <c r="W103" s="388" t="e">
        <f>W32-#REF!</f>
        <v>#REF!</v>
      </c>
      <c r="X103" s="388" t="e">
        <f>X32-#REF!</f>
        <v>#REF!</v>
      </c>
      <c r="Y103" s="388" t="e">
        <f>Y32-#REF!</f>
        <v>#REF!</v>
      </c>
      <c r="Z103" s="388" t="e">
        <f>Z32-#REF!</f>
        <v>#REF!</v>
      </c>
      <c r="AA103" s="388" t="e">
        <f>AA32-#REF!</f>
        <v>#REF!</v>
      </c>
      <c r="AB103" s="388" t="e">
        <f>AB32-#REF!</f>
        <v>#REF!</v>
      </c>
      <c r="AC103" s="388" t="e">
        <f>AC32-#REF!</f>
        <v>#REF!</v>
      </c>
      <c r="AD103" s="388" t="e">
        <f>AD32-#REF!</f>
        <v>#REF!</v>
      </c>
      <c r="AE103" s="388">
        <f>AE32-BX32</f>
        <v>0</v>
      </c>
      <c r="AF103" s="388">
        <f>AF32-BY32</f>
        <v>0</v>
      </c>
      <c r="AG103" s="388">
        <f>AG32-BZ32</f>
        <v>0</v>
      </c>
      <c r="AH103" s="388">
        <f>AH32-CA32</f>
        <v>0</v>
      </c>
      <c r="AI103" s="388">
        <f>AI32-CB32</f>
        <v>0</v>
      </c>
      <c r="AJ103" s="388">
        <f>AJ32-CC32</f>
        <v>0</v>
      </c>
      <c r="AK103" s="388">
        <f>AK32-CD32</f>
        <v>0</v>
      </c>
      <c r="AL103" s="388">
        <f>AL32-CE32</f>
        <v>0</v>
      </c>
      <c r="AM103" s="388">
        <f>AM32-CF32</f>
        <v>0</v>
      </c>
      <c r="AN103" s="388">
        <f>AN32-CG32</f>
        <v>0</v>
      </c>
      <c r="AO103" s="388">
        <f>AO32-CH32</f>
        <v>0</v>
      </c>
      <c r="AP103" s="388">
        <f>AP32-CI32</f>
        <v>0</v>
      </c>
      <c r="AQ103" s="388">
        <f>AQ32-CJ32</f>
        <v>0</v>
      </c>
      <c r="AR103" s="388">
        <f>AR32-CK32</f>
        <v>0</v>
      </c>
      <c r="AS103" s="388">
        <f>AS32-CL32</f>
        <v>0</v>
      </c>
      <c r="AT103" s="388">
        <f>AT32-CM32</f>
        <v>0</v>
      </c>
      <c r="AU103" s="388">
        <f>AU32-CN32</f>
        <v>0</v>
      </c>
      <c r="AV103" s="388">
        <f>AV32-CO32</f>
        <v>0</v>
      </c>
      <c r="AW103" s="388">
        <f>AW32-CP32</f>
        <v>0</v>
      </c>
      <c r="AX103" s="388">
        <f>AX32-CQ32</f>
        <v>0</v>
      </c>
      <c r="AY103" s="388">
        <f>AY32-CR32</f>
        <v>0</v>
      </c>
      <c r="AZ103" s="388">
        <f>AZ32-CS32</f>
        <v>0</v>
      </c>
      <c r="BA103" s="388">
        <f>BA32-CT32</f>
        <v>0</v>
      </c>
      <c r="BB103" s="388">
        <f>BB32-CU32</f>
        <v>0</v>
      </c>
      <c r="BC103" s="388">
        <f>BC32-CV32</f>
        <v>0</v>
      </c>
      <c r="BD103" s="388">
        <f>BD32-CW32</f>
        <v>0</v>
      </c>
      <c r="BE103" s="388">
        <f>BE32-CX32</f>
        <v>0</v>
      </c>
      <c r="BF103" s="388">
        <f>BF32-CY32</f>
        <v>0</v>
      </c>
      <c r="BG103" s="388">
        <f>BG32-CZ32</f>
        <v>0</v>
      </c>
      <c r="BH103" s="388">
        <f>BH32-DA32</f>
        <v>0</v>
      </c>
      <c r="BI103" s="388">
        <f>BI32-DB32</f>
        <v>0</v>
      </c>
      <c r="BJ103" s="388">
        <f>BJ32-DC32</f>
        <v>0</v>
      </c>
      <c r="BK103" s="388">
        <f>BK32-DD32</f>
        <v>-730496</v>
      </c>
      <c r="BL103" s="388">
        <f>BL32-DE32</f>
        <v>0</v>
      </c>
      <c r="BM103" s="388">
        <f>BM32-DF32</f>
        <v>0</v>
      </c>
      <c r="BN103" s="388" t="e">
        <f>BN32-#REF!</f>
        <v>#REF!</v>
      </c>
      <c r="BO103" s="388" t="e">
        <f>BO32-#REF!</f>
        <v>#REF!</v>
      </c>
      <c r="BP103" s="388" t="e">
        <f>BP32-#REF!</f>
        <v>#REF!</v>
      </c>
      <c r="BQ103" s="388" t="e">
        <f>BQ32-#REF!</f>
        <v>#REF!</v>
      </c>
      <c r="BR103" s="388" t="e">
        <f>BR32-#REF!</f>
        <v>#REF!</v>
      </c>
      <c r="BS103" s="388" t="e">
        <f>BS32-#REF!</f>
        <v>#REF!</v>
      </c>
      <c r="BT103" s="388" t="e">
        <f>BT32-#REF!</f>
        <v>#REF!</v>
      </c>
      <c r="BU103" s="388" t="e">
        <f>BU32-#REF!</f>
        <v>#REF!</v>
      </c>
      <c r="BV103" s="388"/>
      <c r="BW103" s="388"/>
      <c r="DH103" s="38"/>
    </row>
    <row r="104" spans="13:112" hidden="1" x14ac:dyDescent="0.3">
      <c r="M104" s="388" t="e">
        <f>M33-#REF!</f>
        <v>#REF!</v>
      </c>
      <c r="N104" s="388" t="e">
        <f>N33-#REF!</f>
        <v>#REF!</v>
      </c>
      <c r="O104" s="388" t="e">
        <f>O33-#REF!</f>
        <v>#REF!</v>
      </c>
      <c r="P104" s="388" t="e">
        <f>P33-#REF!</f>
        <v>#REF!</v>
      </c>
      <c r="Q104" s="388" t="e">
        <f>Q33-#REF!</f>
        <v>#REF!</v>
      </c>
      <c r="R104" s="388" t="e">
        <f>R33-#REF!</f>
        <v>#REF!</v>
      </c>
      <c r="S104" s="388" t="e">
        <f>S33-#REF!</f>
        <v>#REF!</v>
      </c>
      <c r="T104" s="388" t="e">
        <f>T33-#REF!</f>
        <v>#REF!</v>
      </c>
      <c r="U104" s="388" t="e">
        <f>U33-#REF!</f>
        <v>#REF!</v>
      </c>
      <c r="V104" s="388" t="e">
        <f>V33-#REF!</f>
        <v>#REF!</v>
      </c>
      <c r="W104" s="388" t="e">
        <f>W33-#REF!</f>
        <v>#REF!</v>
      </c>
      <c r="X104" s="388" t="e">
        <f>X33-#REF!</f>
        <v>#REF!</v>
      </c>
      <c r="Y104" s="388" t="e">
        <f>Y33-#REF!</f>
        <v>#REF!</v>
      </c>
      <c r="Z104" s="388" t="e">
        <f>Z33-#REF!</f>
        <v>#REF!</v>
      </c>
      <c r="AA104" s="388" t="e">
        <f>AA33-#REF!</f>
        <v>#REF!</v>
      </c>
      <c r="AB104" s="388" t="e">
        <f>AB33-#REF!</f>
        <v>#REF!</v>
      </c>
      <c r="AC104" s="388" t="e">
        <f>AC33-#REF!</f>
        <v>#REF!</v>
      </c>
      <c r="AD104" s="388" t="e">
        <f>AD33-#REF!</f>
        <v>#REF!</v>
      </c>
      <c r="AE104" s="388">
        <f>AE33-BX33</f>
        <v>0</v>
      </c>
      <c r="AF104" s="388">
        <f>AF33-BY33</f>
        <v>0</v>
      </c>
      <c r="AG104" s="388">
        <f>AG33-BZ33</f>
        <v>0</v>
      </c>
      <c r="AH104" s="388">
        <f>AH33-CA33</f>
        <v>0</v>
      </c>
      <c r="AI104" s="388">
        <f>AI33-CB33</f>
        <v>0</v>
      </c>
      <c r="AJ104" s="388">
        <f>AJ33-CC33</f>
        <v>0</v>
      </c>
      <c r="AK104" s="388">
        <f>AK33-CD33</f>
        <v>0</v>
      </c>
      <c r="AL104" s="388">
        <f>AL33-CE33</f>
        <v>0</v>
      </c>
      <c r="AM104" s="388">
        <f>AM33-CF33</f>
        <v>0</v>
      </c>
      <c r="AN104" s="388">
        <f>AN33-CG33</f>
        <v>0</v>
      </c>
      <c r="AO104" s="388">
        <f>AO33-CH33</f>
        <v>0</v>
      </c>
      <c r="AP104" s="388">
        <f>AP33-CI33</f>
        <v>0</v>
      </c>
      <c r="AQ104" s="388">
        <f>AQ33-CJ33</f>
        <v>0</v>
      </c>
      <c r="AR104" s="388">
        <f>AR33-CK33</f>
        <v>0</v>
      </c>
      <c r="AS104" s="388">
        <f>AS33-CL33</f>
        <v>0</v>
      </c>
      <c r="AT104" s="388">
        <f>AT33-CM33</f>
        <v>0</v>
      </c>
      <c r="AU104" s="388">
        <f>AU33-CN33</f>
        <v>0</v>
      </c>
      <c r="AV104" s="388">
        <f>AV33-CO33</f>
        <v>0</v>
      </c>
      <c r="AW104" s="388">
        <f>AW33-CP33</f>
        <v>0</v>
      </c>
      <c r="AX104" s="388">
        <f>AX33-CQ33</f>
        <v>0</v>
      </c>
      <c r="AY104" s="388">
        <f>AY33-CR33</f>
        <v>0</v>
      </c>
      <c r="AZ104" s="388">
        <f>AZ33-CS33</f>
        <v>0</v>
      </c>
      <c r="BA104" s="388">
        <f>BA33-CT33</f>
        <v>0</v>
      </c>
      <c r="BB104" s="388">
        <f>BB33-CU33</f>
        <v>0</v>
      </c>
      <c r="BC104" s="388">
        <f>BC33-CV33</f>
        <v>0</v>
      </c>
      <c r="BD104" s="388">
        <f>BD33-CW33</f>
        <v>0</v>
      </c>
      <c r="BE104" s="388">
        <f>BE33-CX33</f>
        <v>0</v>
      </c>
      <c r="BF104" s="388">
        <f>BF33-CY33</f>
        <v>0</v>
      </c>
      <c r="BG104" s="388">
        <f>BG33-CZ33</f>
        <v>0</v>
      </c>
      <c r="BH104" s="388">
        <f>BH33-DA33</f>
        <v>0</v>
      </c>
      <c r="BI104" s="388">
        <f>BI33-DB33</f>
        <v>0</v>
      </c>
      <c r="BJ104" s="388">
        <f>BJ33-DC33</f>
        <v>0</v>
      </c>
      <c r="BK104" s="388">
        <f>BK33-DD33</f>
        <v>-6805000</v>
      </c>
      <c r="BL104" s="388">
        <f>BL33-DE33</f>
        <v>0</v>
      </c>
      <c r="BM104" s="388">
        <f>BM33-DF33</f>
        <v>0</v>
      </c>
      <c r="BN104" s="388" t="e">
        <f>BN33-#REF!</f>
        <v>#REF!</v>
      </c>
      <c r="BO104" s="388" t="e">
        <f>BO33-#REF!</f>
        <v>#REF!</v>
      </c>
      <c r="BP104" s="388" t="e">
        <f>BP33-#REF!</f>
        <v>#REF!</v>
      </c>
      <c r="BQ104" s="388" t="e">
        <f>BQ33-#REF!</f>
        <v>#REF!</v>
      </c>
      <c r="BR104" s="388" t="e">
        <f>BR33-#REF!</f>
        <v>#REF!</v>
      </c>
      <c r="BS104" s="388" t="e">
        <f>BS33-#REF!</f>
        <v>#REF!</v>
      </c>
      <c r="BT104" s="388" t="e">
        <f>BT33-#REF!</f>
        <v>#REF!</v>
      </c>
      <c r="BU104" s="388" t="e">
        <f>BU33-#REF!</f>
        <v>#REF!</v>
      </c>
      <c r="BV104" s="388"/>
      <c r="BW104" s="388">
        <f>SUM(BW105:BW106)</f>
        <v>0</v>
      </c>
      <c r="DH104" s="38"/>
    </row>
    <row r="105" spans="13:112" hidden="1" x14ac:dyDescent="0.3">
      <c r="M105" s="388" t="e">
        <f>M34-#REF!</f>
        <v>#REF!</v>
      </c>
      <c r="N105" s="388" t="e">
        <f>N34-#REF!</f>
        <v>#REF!</v>
      </c>
      <c r="O105" s="388" t="e">
        <f>O34-#REF!</f>
        <v>#REF!</v>
      </c>
      <c r="P105" s="388" t="e">
        <f>P34-#REF!</f>
        <v>#REF!</v>
      </c>
      <c r="Q105" s="388" t="e">
        <f>Q34-#REF!</f>
        <v>#REF!</v>
      </c>
      <c r="R105" s="388" t="e">
        <f>R34-#REF!</f>
        <v>#REF!</v>
      </c>
      <c r="S105" s="388" t="e">
        <f>S34-#REF!</f>
        <v>#REF!</v>
      </c>
      <c r="T105" s="388" t="e">
        <f>T34-#REF!</f>
        <v>#REF!</v>
      </c>
      <c r="U105" s="388" t="e">
        <f>U34-#REF!</f>
        <v>#REF!</v>
      </c>
      <c r="V105" s="388" t="e">
        <f>V34-#REF!</f>
        <v>#REF!</v>
      </c>
      <c r="W105" s="388" t="e">
        <f>W34-#REF!</f>
        <v>#REF!</v>
      </c>
      <c r="X105" s="388" t="e">
        <f>X34-#REF!</f>
        <v>#REF!</v>
      </c>
      <c r="Y105" s="388" t="e">
        <f>Y34-#REF!</f>
        <v>#REF!</v>
      </c>
      <c r="Z105" s="388" t="e">
        <f>Z34-#REF!</f>
        <v>#REF!</v>
      </c>
      <c r="AA105" s="388" t="e">
        <f>AA34-#REF!</f>
        <v>#REF!</v>
      </c>
      <c r="AB105" s="388" t="e">
        <f>AB34-#REF!</f>
        <v>#REF!</v>
      </c>
      <c r="AC105" s="388" t="e">
        <f>AC34-#REF!</f>
        <v>#REF!</v>
      </c>
      <c r="AD105" s="388" t="e">
        <f>AD34-#REF!</f>
        <v>#REF!</v>
      </c>
      <c r="AE105" s="388">
        <f>AE34-BX34</f>
        <v>0</v>
      </c>
      <c r="AF105" s="388">
        <f>AF34-BY34</f>
        <v>0</v>
      </c>
      <c r="AG105" s="388">
        <f>AG34-BZ34</f>
        <v>0</v>
      </c>
      <c r="AH105" s="388">
        <f>AH34-CA34</f>
        <v>0</v>
      </c>
      <c r="AI105" s="388">
        <f>AI34-CB34</f>
        <v>0</v>
      </c>
      <c r="AJ105" s="388">
        <f>AJ34-CC34</f>
        <v>0</v>
      </c>
      <c r="AK105" s="388">
        <f>AK34-CD34</f>
        <v>0</v>
      </c>
      <c r="AL105" s="388">
        <f>AL34-CE34</f>
        <v>0</v>
      </c>
      <c r="AM105" s="388">
        <f>AM34-CF34</f>
        <v>0</v>
      </c>
      <c r="AN105" s="388">
        <f>AN34-CG34</f>
        <v>0</v>
      </c>
      <c r="AO105" s="388">
        <f>AO34-CH34</f>
        <v>0</v>
      </c>
      <c r="AP105" s="388">
        <f>AP34-CI34</f>
        <v>0</v>
      </c>
      <c r="AQ105" s="388">
        <f>AQ34-CJ34</f>
        <v>0</v>
      </c>
      <c r="AR105" s="388">
        <f>AR34-CK34</f>
        <v>0</v>
      </c>
      <c r="AS105" s="388">
        <f>AS34-CL34</f>
        <v>0</v>
      </c>
      <c r="AT105" s="388">
        <f>AT34-CM34</f>
        <v>0</v>
      </c>
      <c r="AU105" s="388">
        <f>AU34-CN34</f>
        <v>0</v>
      </c>
      <c r="AV105" s="388">
        <f>AV34-CO34</f>
        <v>0</v>
      </c>
      <c r="AW105" s="388">
        <f>AW34-CP34</f>
        <v>0</v>
      </c>
      <c r="AX105" s="388">
        <f>AX34-CQ34</f>
        <v>0</v>
      </c>
      <c r="AY105" s="388">
        <f>AY34-CR34</f>
        <v>0</v>
      </c>
      <c r="AZ105" s="388">
        <f>AZ34-CS34</f>
        <v>0</v>
      </c>
      <c r="BA105" s="388">
        <f>BA34-CT34</f>
        <v>0</v>
      </c>
      <c r="BB105" s="388">
        <f>BB34-CU34</f>
        <v>0</v>
      </c>
      <c r="BC105" s="388">
        <f>BC34-CV34</f>
        <v>0</v>
      </c>
      <c r="BD105" s="388">
        <f>BD34-CW34</f>
        <v>0</v>
      </c>
      <c r="BE105" s="388">
        <f>BE34-CX34</f>
        <v>0</v>
      </c>
      <c r="BF105" s="388">
        <f>BF34-CY34</f>
        <v>0</v>
      </c>
      <c r="BG105" s="388">
        <f>BG34-CZ34</f>
        <v>0</v>
      </c>
      <c r="BH105" s="388">
        <f>BH34-DA34</f>
        <v>0</v>
      </c>
      <c r="BI105" s="388">
        <f>BI34-DB34</f>
        <v>0</v>
      </c>
      <c r="BJ105" s="388">
        <f>BJ34-DC34</f>
        <v>0</v>
      </c>
      <c r="BK105" s="388">
        <f>BK34-DD34</f>
        <v>0</v>
      </c>
      <c r="BL105" s="388">
        <f>BL34-DE34</f>
        <v>0</v>
      </c>
      <c r="BM105" s="388">
        <f>BM34-DF34</f>
        <v>0</v>
      </c>
      <c r="BN105" s="388" t="e">
        <f>BN34-#REF!</f>
        <v>#REF!</v>
      </c>
      <c r="BO105" s="388" t="e">
        <f>BO34-#REF!</f>
        <v>#REF!</v>
      </c>
      <c r="BP105" s="388" t="e">
        <f>BP34-#REF!</f>
        <v>#REF!</v>
      </c>
      <c r="BQ105" s="388" t="e">
        <f>BQ34-#REF!</f>
        <v>#REF!</v>
      </c>
      <c r="BR105" s="388" t="e">
        <f>BR34-#REF!</f>
        <v>#REF!</v>
      </c>
      <c r="BS105" s="388" t="e">
        <f>BS34-#REF!</f>
        <v>#REF!</v>
      </c>
      <c r="BT105" s="388" t="e">
        <f>BT34-#REF!</f>
        <v>#REF!</v>
      </c>
      <c r="BU105" s="388" t="e">
        <f>BU34-#REF!</f>
        <v>#REF!</v>
      </c>
      <c r="BV105" s="388"/>
      <c r="BW105" s="388">
        <f>[39]domlongtermissues!BV98</f>
        <v>0</v>
      </c>
      <c r="DH105" s="38"/>
    </row>
    <row r="106" spans="13:112" hidden="1" x14ac:dyDescent="0.3">
      <c r="M106" s="388" t="e">
        <f>M35-#REF!</f>
        <v>#REF!</v>
      </c>
      <c r="N106" s="388" t="e">
        <f>N35-#REF!</f>
        <v>#REF!</v>
      </c>
      <c r="O106" s="388" t="e">
        <f>O35-#REF!</f>
        <v>#REF!</v>
      </c>
      <c r="P106" s="388" t="e">
        <f>P35-#REF!</f>
        <v>#REF!</v>
      </c>
      <c r="Q106" s="388" t="e">
        <f>Q35-#REF!</f>
        <v>#REF!</v>
      </c>
      <c r="R106" s="388" t="e">
        <f>R35-#REF!</f>
        <v>#REF!</v>
      </c>
      <c r="S106" s="388" t="e">
        <f>S35-#REF!</f>
        <v>#REF!</v>
      </c>
      <c r="T106" s="388" t="e">
        <f>T35-#REF!</f>
        <v>#REF!</v>
      </c>
      <c r="U106" s="388" t="e">
        <f>U35-#REF!</f>
        <v>#REF!</v>
      </c>
      <c r="V106" s="388" t="e">
        <f>V35-#REF!</f>
        <v>#REF!</v>
      </c>
      <c r="W106" s="388" t="e">
        <f>W35-#REF!</f>
        <v>#REF!</v>
      </c>
      <c r="X106" s="388" t="e">
        <f>X35-#REF!</f>
        <v>#REF!</v>
      </c>
      <c r="Y106" s="388" t="e">
        <f>Y35-#REF!</f>
        <v>#REF!</v>
      </c>
      <c r="Z106" s="388" t="e">
        <f>Z35-#REF!</f>
        <v>#REF!</v>
      </c>
      <c r="AA106" s="388" t="e">
        <f>AA35-#REF!</f>
        <v>#REF!</v>
      </c>
      <c r="AB106" s="388" t="e">
        <f>AB35-#REF!</f>
        <v>#REF!</v>
      </c>
      <c r="AC106" s="388" t="e">
        <f>AC35-#REF!</f>
        <v>#REF!</v>
      </c>
      <c r="AD106" s="388" t="e">
        <f>AD35-#REF!</f>
        <v>#REF!</v>
      </c>
      <c r="AE106" s="388">
        <f>AE35-BX35</f>
        <v>0</v>
      </c>
      <c r="AF106" s="388">
        <f>AF35-BY35</f>
        <v>0</v>
      </c>
      <c r="AG106" s="388">
        <f>AG35-BZ35</f>
        <v>0</v>
      </c>
      <c r="AH106" s="388">
        <f>AH35-CA35</f>
        <v>0</v>
      </c>
      <c r="AI106" s="388">
        <f>AI35-CB35</f>
        <v>0</v>
      </c>
      <c r="AJ106" s="388">
        <f>AJ35-CC35</f>
        <v>0</v>
      </c>
      <c r="AK106" s="388">
        <f>AK35-CD35</f>
        <v>0</v>
      </c>
      <c r="AL106" s="388">
        <f>AL35-CE35</f>
        <v>0</v>
      </c>
      <c r="AM106" s="388">
        <f>AM35-CF35</f>
        <v>0</v>
      </c>
      <c r="AN106" s="388">
        <f>AN35-CG35</f>
        <v>0</v>
      </c>
      <c r="AO106" s="388">
        <f>AO35-CH35</f>
        <v>0</v>
      </c>
      <c r="AP106" s="388">
        <f>AP35-CI35</f>
        <v>0</v>
      </c>
      <c r="AQ106" s="388">
        <f>AQ35-CJ35</f>
        <v>0</v>
      </c>
      <c r="AR106" s="388">
        <f>AR35-CK35</f>
        <v>0</v>
      </c>
      <c r="AS106" s="388">
        <f>AS35-CL35</f>
        <v>0</v>
      </c>
      <c r="AT106" s="388">
        <f>AT35-CM35</f>
        <v>0</v>
      </c>
      <c r="AU106" s="388">
        <f>AU35-CN35</f>
        <v>0</v>
      </c>
      <c r="AV106" s="388">
        <f>AV35-CO35</f>
        <v>85877</v>
      </c>
      <c r="AW106" s="388">
        <f>AW35-CP35</f>
        <v>0</v>
      </c>
      <c r="AX106" s="388">
        <f>AX35-CQ35</f>
        <v>0</v>
      </c>
      <c r="AY106" s="388">
        <f>AY35-CR35</f>
        <v>0</v>
      </c>
      <c r="AZ106" s="388">
        <f>AZ35-CS35</f>
        <v>0</v>
      </c>
      <c r="BA106" s="388">
        <f>BA35-CT35</f>
        <v>-85877</v>
      </c>
      <c r="BB106" s="388">
        <f>BB35-CU35</f>
        <v>0</v>
      </c>
      <c r="BC106" s="388">
        <f>BC35-CV35</f>
        <v>0</v>
      </c>
      <c r="BD106" s="388">
        <f>BD35-CW35</f>
        <v>0</v>
      </c>
      <c r="BE106" s="388">
        <f>BE35-CX35</f>
        <v>0</v>
      </c>
      <c r="BF106" s="388">
        <f>BF35-CY35</f>
        <v>0</v>
      </c>
      <c r="BG106" s="388">
        <f>BG35-CZ35</f>
        <v>0</v>
      </c>
      <c r="BH106" s="388">
        <f>BH35-DA35</f>
        <v>0</v>
      </c>
      <c r="BI106" s="388">
        <f>BI35-DB35</f>
        <v>0</v>
      </c>
      <c r="BJ106" s="388">
        <f>BJ35-DC35</f>
        <v>0</v>
      </c>
      <c r="BK106" s="388">
        <f>BK35-DD35</f>
        <v>0</v>
      </c>
      <c r="BL106" s="388">
        <f>BL35-DE35</f>
        <v>0</v>
      </c>
      <c r="BM106" s="388">
        <f>BM35-DF35</f>
        <v>0</v>
      </c>
      <c r="BN106" s="388" t="e">
        <f>BN35-#REF!</f>
        <v>#REF!</v>
      </c>
      <c r="BO106" s="388" t="e">
        <f>BO35-#REF!</f>
        <v>#REF!</v>
      </c>
      <c r="BP106" s="388" t="e">
        <f>BP35-#REF!</f>
        <v>#REF!</v>
      </c>
      <c r="BQ106" s="388" t="e">
        <f>BQ35-#REF!</f>
        <v>#REF!</v>
      </c>
      <c r="BR106" s="388" t="e">
        <f>BR35-#REF!</f>
        <v>#REF!</v>
      </c>
      <c r="BS106" s="388" t="e">
        <f>BS35-#REF!</f>
        <v>#REF!</v>
      </c>
      <c r="BT106" s="388" t="e">
        <f>BT35-#REF!</f>
        <v>#REF!</v>
      </c>
      <c r="BU106" s="388" t="e">
        <f>BU35-#REF!</f>
        <v>#REF!</v>
      </c>
      <c r="BV106" s="388"/>
      <c r="BW106" s="388">
        <f>-[39]domredemp!BV100</f>
        <v>0</v>
      </c>
      <c r="DH106" s="38"/>
    </row>
    <row r="107" spans="13:112" hidden="1" x14ac:dyDescent="0.3">
      <c r="M107" s="388" t="e">
        <f>M36-#REF!</f>
        <v>#REF!</v>
      </c>
      <c r="N107" s="388" t="e">
        <f>N36-#REF!</f>
        <v>#REF!</v>
      </c>
      <c r="O107" s="388" t="e">
        <f>O36-#REF!</f>
        <v>#REF!</v>
      </c>
      <c r="P107" s="388" t="e">
        <f>P36-#REF!</f>
        <v>#REF!</v>
      </c>
      <c r="Q107" s="388" t="e">
        <f>Q36-#REF!</f>
        <v>#REF!</v>
      </c>
      <c r="R107" s="388" t="e">
        <f>R36-#REF!</f>
        <v>#REF!</v>
      </c>
      <c r="S107" s="388" t="e">
        <f>S36-#REF!</f>
        <v>#REF!</v>
      </c>
      <c r="T107" s="388" t="e">
        <f>T36-#REF!</f>
        <v>#REF!</v>
      </c>
      <c r="U107" s="388" t="e">
        <f>U36-#REF!</f>
        <v>#REF!</v>
      </c>
      <c r="V107" s="388" t="e">
        <f>V36-#REF!</f>
        <v>#REF!</v>
      </c>
      <c r="W107" s="388" t="e">
        <f>W36-#REF!</f>
        <v>#REF!</v>
      </c>
      <c r="X107" s="388" t="e">
        <f>X36-#REF!</f>
        <v>#REF!</v>
      </c>
      <c r="Y107" s="388" t="e">
        <f>Y36-#REF!</f>
        <v>#REF!</v>
      </c>
      <c r="Z107" s="388" t="e">
        <f>Z36-#REF!</f>
        <v>#REF!</v>
      </c>
      <c r="AA107" s="388" t="e">
        <f>AA36-#REF!</f>
        <v>#REF!</v>
      </c>
      <c r="AB107" s="388" t="e">
        <f>AB36-#REF!</f>
        <v>#REF!</v>
      </c>
      <c r="AC107" s="388" t="e">
        <f>AC36-#REF!</f>
        <v>#REF!</v>
      </c>
      <c r="AD107" s="388" t="e">
        <f>AD36-#REF!</f>
        <v>#REF!</v>
      </c>
      <c r="AE107" s="388">
        <f>AE36-BX36</f>
        <v>0</v>
      </c>
      <c r="AF107" s="388">
        <f>AF36-BY36</f>
        <v>0</v>
      </c>
      <c r="AG107" s="388">
        <f>AG36-BZ36</f>
        <v>-248026</v>
      </c>
      <c r="AH107" s="388">
        <f>AH36-CA36</f>
        <v>0</v>
      </c>
      <c r="AI107" s="388">
        <f>AI36-CB36</f>
        <v>0</v>
      </c>
      <c r="AJ107" s="388">
        <f>AJ36-CC36</f>
        <v>0</v>
      </c>
      <c r="AK107" s="388">
        <f>AK36-CD36</f>
        <v>0</v>
      </c>
      <c r="AL107" s="388">
        <f>AL36-CE36</f>
        <v>-216458</v>
      </c>
      <c r="AM107" s="388">
        <f>AM36-CF36</f>
        <v>0</v>
      </c>
      <c r="AN107" s="388">
        <f>AN36-CG36</f>
        <v>0</v>
      </c>
      <c r="AO107" s="388">
        <f>AO36-CH36</f>
        <v>0</v>
      </c>
      <c r="AP107" s="388">
        <f>AP36-CI36</f>
        <v>0</v>
      </c>
      <c r="AQ107" s="388">
        <f>AQ36-CJ36</f>
        <v>0</v>
      </c>
      <c r="AR107" s="388">
        <f>AR36-CK36</f>
        <v>0</v>
      </c>
      <c r="AS107" s="388">
        <f>AS36-CL36</f>
        <v>0</v>
      </c>
      <c r="AT107" s="388">
        <f>AT36-CM36</f>
        <v>0</v>
      </c>
      <c r="AU107" s="388">
        <f>AU36-CN36</f>
        <v>0</v>
      </c>
      <c r="AV107" s="388">
        <f>AV36-CO36</f>
        <v>21750</v>
      </c>
      <c r="AW107" s="388">
        <f>AW36-CP36</f>
        <v>0</v>
      </c>
      <c r="AX107" s="388">
        <f>AX36-CQ36</f>
        <v>0</v>
      </c>
      <c r="AY107" s="388">
        <f>AY36-CR36</f>
        <v>0</v>
      </c>
      <c r="AZ107" s="388">
        <f>AZ36-CS36</f>
        <v>0</v>
      </c>
      <c r="BA107" s="388">
        <f>BA36-CT36</f>
        <v>204461</v>
      </c>
      <c r="BB107" s="388">
        <f>BB36-CU36</f>
        <v>0</v>
      </c>
      <c r="BC107" s="388">
        <f>BC36-CV36</f>
        <v>0</v>
      </c>
      <c r="BD107" s="388">
        <f>BD36-CW36</f>
        <v>0</v>
      </c>
      <c r="BE107" s="388">
        <f>BE36-CX36</f>
        <v>0</v>
      </c>
      <c r="BF107" s="388">
        <f>BF36-CY36</f>
        <v>132680</v>
      </c>
      <c r="BG107" s="388">
        <f>BG36-CZ36</f>
        <v>0</v>
      </c>
      <c r="BH107" s="388">
        <f>BH36-DA36</f>
        <v>0</v>
      </c>
      <c r="BI107" s="388">
        <f>BI36-DB36</f>
        <v>0</v>
      </c>
      <c r="BJ107" s="388">
        <f>BJ36-DC36</f>
        <v>0</v>
      </c>
      <c r="BK107" s="388">
        <f>BK36-DD36</f>
        <v>1279237</v>
      </c>
      <c r="BL107" s="388">
        <f>BL36-DE36</f>
        <v>0</v>
      </c>
      <c r="BM107" s="388">
        <f>BM36-DF36</f>
        <v>0</v>
      </c>
      <c r="BN107" s="388" t="e">
        <f>BN36-#REF!</f>
        <v>#REF!</v>
      </c>
      <c r="BO107" s="388" t="e">
        <f>BO36-#REF!</f>
        <v>#REF!</v>
      </c>
      <c r="BP107" s="388" t="e">
        <f>BP36-#REF!</f>
        <v>#REF!</v>
      </c>
      <c r="BQ107" s="388" t="e">
        <f>BQ36-#REF!</f>
        <v>#REF!</v>
      </c>
      <c r="BR107" s="388" t="e">
        <f>BR36-#REF!</f>
        <v>#REF!</v>
      </c>
      <c r="BS107" s="388" t="e">
        <f>BS36-#REF!</f>
        <v>#REF!</v>
      </c>
      <c r="BT107" s="388" t="e">
        <f>BT36-#REF!</f>
        <v>#REF!</v>
      </c>
      <c r="BU107" s="388" t="e">
        <f>BU36-#REF!</f>
        <v>#REF!</v>
      </c>
      <c r="BV107" s="388"/>
      <c r="BW107" s="388"/>
      <c r="DH107" s="38"/>
    </row>
    <row r="108" spans="13:112" hidden="1" x14ac:dyDescent="0.3">
      <c r="M108" s="388" t="e">
        <f>M37-#REF!</f>
        <v>#REF!</v>
      </c>
      <c r="N108" s="388" t="e">
        <f>N37-#REF!</f>
        <v>#REF!</v>
      </c>
      <c r="O108" s="388" t="e">
        <f>O37-#REF!</f>
        <v>#REF!</v>
      </c>
      <c r="P108" s="388" t="e">
        <f>P37-#REF!</f>
        <v>#REF!</v>
      </c>
      <c r="Q108" s="388" t="e">
        <f>Q37-#REF!</f>
        <v>#REF!</v>
      </c>
      <c r="R108" s="388" t="e">
        <f>R37-#REF!</f>
        <v>#REF!</v>
      </c>
      <c r="S108" s="388" t="e">
        <f>S37-#REF!</f>
        <v>#REF!</v>
      </c>
      <c r="T108" s="388" t="e">
        <f>T37-#REF!</f>
        <v>#REF!</v>
      </c>
      <c r="U108" s="388" t="e">
        <f>U37-#REF!</f>
        <v>#REF!</v>
      </c>
      <c r="V108" s="388" t="e">
        <f>V37-#REF!</f>
        <v>#REF!</v>
      </c>
      <c r="W108" s="388" t="e">
        <f>W37-#REF!</f>
        <v>#REF!</v>
      </c>
      <c r="X108" s="388" t="e">
        <f>X37-#REF!</f>
        <v>#REF!</v>
      </c>
      <c r="Y108" s="388" t="e">
        <f>Y37-#REF!</f>
        <v>#REF!</v>
      </c>
      <c r="Z108" s="388" t="e">
        <f>Z37-#REF!</f>
        <v>#REF!</v>
      </c>
      <c r="AA108" s="388" t="e">
        <f>AA37-#REF!</f>
        <v>#REF!</v>
      </c>
      <c r="AB108" s="388" t="e">
        <f>AB37-#REF!</f>
        <v>#REF!</v>
      </c>
      <c r="AC108" s="388" t="e">
        <f>AC37-#REF!</f>
        <v>#REF!</v>
      </c>
      <c r="AD108" s="388" t="e">
        <f>AD37-#REF!</f>
        <v>#REF!</v>
      </c>
      <c r="AE108" s="388">
        <f>AE37-BX37</f>
        <v>0</v>
      </c>
      <c r="AF108" s="388">
        <f>AF37-BY37</f>
        <v>0</v>
      </c>
      <c r="AG108" s="388">
        <f>AG37-BZ37</f>
        <v>248026</v>
      </c>
      <c r="AH108" s="388">
        <f>AH37-CA37</f>
        <v>0</v>
      </c>
      <c r="AI108" s="388">
        <f>AI37-CB37</f>
        <v>0</v>
      </c>
      <c r="AJ108" s="388">
        <f>AJ37-CC37</f>
        <v>0</v>
      </c>
      <c r="AK108" s="388">
        <f>AK37-CD37</f>
        <v>0</v>
      </c>
      <c r="AL108" s="388">
        <f>AL37-CE37</f>
        <v>216458</v>
      </c>
      <c r="AM108" s="388">
        <f>AM37-CF37</f>
        <v>0</v>
      </c>
      <c r="AN108" s="388">
        <f>AN37-CG37</f>
        <v>0</v>
      </c>
      <c r="AO108" s="388">
        <f>AO37-CH37</f>
        <v>0</v>
      </c>
      <c r="AP108" s="388">
        <f>AP37-CI37</f>
        <v>0</v>
      </c>
      <c r="AQ108" s="388">
        <f>AQ37-CJ37</f>
        <v>0</v>
      </c>
      <c r="AR108" s="388">
        <f>AR37-CK37</f>
        <v>0</v>
      </c>
      <c r="AS108" s="388">
        <f>AS37-CL37</f>
        <v>0</v>
      </c>
      <c r="AT108" s="388">
        <f>AT37-CM37</f>
        <v>0</v>
      </c>
      <c r="AU108" s="388">
        <f>AU37-CN37</f>
        <v>0</v>
      </c>
      <c r="AV108" s="388">
        <f>AV37-CO37</f>
        <v>64127</v>
      </c>
      <c r="AW108" s="388">
        <f>AW37-CP37</f>
        <v>0</v>
      </c>
      <c r="AX108" s="388">
        <f>AX37-CQ37</f>
        <v>0</v>
      </c>
      <c r="AY108" s="388">
        <f>AY37-CR37</f>
        <v>0</v>
      </c>
      <c r="AZ108" s="388">
        <f>AZ37-CS37</f>
        <v>0</v>
      </c>
      <c r="BA108" s="388">
        <f>BA37-CT37</f>
        <v>-290338</v>
      </c>
      <c r="BB108" s="388">
        <f>BB37-CU37</f>
        <v>0</v>
      </c>
      <c r="BC108" s="388">
        <f>BC37-CV37</f>
        <v>0</v>
      </c>
      <c r="BD108" s="388">
        <f>BD37-CW37</f>
        <v>0</v>
      </c>
      <c r="BE108" s="388">
        <f>BE37-CX37</f>
        <v>0</v>
      </c>
      <c r="BF108" s="388">
        <f>BF37-CY37</f>
        <v>-132680</v>
      </c>
      <c r="BG108" s="388">
        <f>BG37-CZ37</f>
        <v>0</v>
      </c>
      <c r="BH108" s="388">
        <f>BH37-DA37</f>
        <v>0</v>
      </c>
      <c r="BI108" s="388">
        <f>BI37-DB37</f>
        <v>0</v>
      </c>
      <c r="BJ108" s="388">
        <f>BJ37-DC37</f>
        <v>0</v>
      </c>
      <c r="BK108" s="388">
        <f>BK37-DD37</f>
        <v>-1279237</v>
      </c>
      <c r="BL108" s="388">
        <f>BL37-DE37</f>
        <v>0</v>
      </c>
      <c r="BM108" s="388">
        <f>BM37-DF37</f>
        <v>0</v>
      </c>
      <c r="BN108" s="388" t="e">
        <f>BN37-#REF!</f>
        <v>#REF!</v>
      </c>
      <c r="BO108" s="388" t="e">
        <f>BO37-#REF!</f>
        <v>#REF!</v>
      </c>
      <c r="BP108" s="388" t="e">
        <f>BP37-#REF!</f>
        <v>#REF!</v>
      </c>
      <c r="BQ108" s="388" t="e">
        <f>BQ37-#REF!</f>
        <v>#REF!</v>
      </c>
      <c r="BR108" s="388" t="e">
        <f>BR37-#REF!</f>
        <v>#REF!</v>
      </c>
      <c r="BS108" s="388" t="e">
        <f>BS37-#REF!</f>
        <v>#REF!</v>
      </c>
      <c r="BT108" s="388" t="e">
        <f>BT37-#REF!</f>
        <v>#REF!</v>
      </c>
      <c r="BU108" s="388" t="e">
        <f>BU37-#REF!</f>
        <v>#REF!</v>
      </c>
      <c r="BV108" s="388"/>
      <c r="BW108" s="388">
        <f>SUM(BW109:BW109)</f>
        <v>0</v>
      </c>
      <c r="DH108" s="38"/>
    </row>
    <row r="109" spans="13:112" hidden="1" x14ac:dyDescent="0.3">
      <c r="M109" s="388" t="e">
        <f>M38-#REF!</f>
        <v>#REF!</v>
      </c>
      <c r="N109" s="388" t="e">
        <f>N38-#REF!</f>
        <v>#REF!</v>
      </c>
      <c r="O109" s="388" t="e">
        <f>O38-#REF!</f>
        <v>#REF!</v>
      </c>
      <c r="P109" s="388" t="e">
        <f>P38-#REF!</f>
        <v>#REF!</v>
      </c>
      <c r="Q109" s="388" t="e">
        <f>Q38-#REF!</f>
        <v>#REF!</v>
      </c>
      <c r="R109" s="388" t="e">
        <f>R38-#REF!</f>
        <v>#REF!</v>
      </c>
      <c r="S109" s="388" t="e">
        <f>S38-#REF!</f>
        <v>#REF!</v>
      </c>
      <c r="T109" s="388" t="e">
        <f>T38-#REF!</f>
        <v>#REF!</v>
      </c>
      <c r="U109" s="388" t="e">
        <f>U38-#REF!</f>
        <v>#REF!</v>
      </c>
      <c r="V109" s="388" t="e">
        <f>V38-#REF!</f>
        <v>#REF!</v>
      </c>
      <c r="W109" s="388" t="e">
        <f>W38-#REF!</f>
        <v>#REF!</v>
      </c>
      <c r="X109" s="388" t="e">
        <f>X38-#REF!</f>
        <v>#REF!</v>
      </c>
      <c r="Y109" s="388" t="e">
        <f>Y38-#REF!</f>
        <v>#REF!</v>
      </c>
      <c r="Z109" s="388" t="e">
        <f>Z38-#REF!</f>
        <v>#REF!</v>
      </c>
      <c r="AA109" s="388" t="e">
        <f>AA38-#REF!</f>
        <v>#REF!</v>
      </c>
      <c r="AB109" s="388" t="e">
        <f>AB38-#REF!</f>
        <v>#REF!</v>
      </c>
      <c r="AC109" s="388" t="e">
        <f>AC38-#REF!</f>
        <v>#REF!</v>
      </c>
      <c r="AD109" s="388" t="e">
        <f>AD38-#REF!</f>
        <v>#REF!</v>
      </c>
      <c r="AE109" s="388">
        <f>AE38-BX38</f>
        <v>0</v>
      </c>
      <c r="AF109" s="388">
        <f>AF38-BY38</f>
        <v>0</v>
      </c>
      <c r="AG109" s="388">
        <f>AG38-BZ38</f>
        <v>0</v>
      </c>
      <c r="AH109" s="388">
        <f>AH38-CA38</f>
        <v>0</v>
      </c>
      <c r="AI109" s="388">
        <f>AI38-CB38</f>
        <v>0</v>
      </c>
      <c r="AJ109" s="388">
        <f>AJ38-CC38</f>
        <v>0</v>
      </c>
      <c r="AK109" s="388">
        <f>AK38-CD38</f>
        <v>0</v>
      </c>
      <c r="AL109" s="388">
        <f>AL38-CE38</f>
        <v>0</v>
      </c>
      <c r="AM109" s="388">
        <f>AM38-CF38</f>
        <v>0</v>
      </c>
      <c r="AN109" s="388">
        <f>AN38-CG38</f>
        <v>0</v>
      </c>
      <c r="AO109" s="388">
        <f>AO38-CH38</f>
        <v>0</v>
      </c>
      <c r="AP109" s="388">
        <f>AP38-CI38</f>
        <v>0</v>
      </c>
      <c r="AQ109" s="388">
        <f>AQ38-CJ38</f>
        <v>0</v>
      </c>
      <c r="AR109" s="388">
        <f>AR38-CK38</f>
        <v>0</v>
      </c>
      <c r="AS109" s="388">
        <f>AS38-CL38</f>
        <v>0</v>
      </c>
      <c r="AT109" s="388">
        <f>AT38-CM38</f>
        <v>0</v>
      </c>
      <c r="AU109" s="388">
        <f>AU38-CN38</f>
        <v>0</v>
      </c>
      <c r="AV109" s="388">
        <f>AV38-CO38</f>
        <v>0</v>
      </c>
      <c r="AW109" s="388">
        <f>AW38-CP38</f>
        <v>0</v>
      </c>
      <c r="AX109" s="388">
        <f>AX38-CQ38</f>
        <v>0</v>
      </c>
      <c r="AY109" s="388">
        <f>AY38-CR38</f>
        <v>0</v>
      </c>
      <c r="AZ109" s="388">
        <f>AZ38-CS38</f>
        <v>0</v>
      </c>
      <c r="BA109" s="388">
        <f>BA38-CT38</f>
        <v>0</v>
      </c>
      <c r="BB109" s="388">
        <f>BB38-CU38</f>
        <v>0</v>
      </c>
      <c r="BC109" s="388">
        <f>BC38-CV38</f>
        <v>0</v>
      </c>
      <c r="BD109" s="388">
        <f>BD38-CW38</f>
        <v>0</v>
      </c>
      <c r="BE109" s="388">
        <f>BE38-CX38</f>
        <v>0</v>
      </c>
      <c r="BF109" s="388">
        <f>BF38-CY38</f>
        <v>0</v>
      </c>
      <c r="BG109" s="388">
        <f>BG38-CZ38</f>
        <v>0</v>
      </c>
      <c r="BH109" s="388">
        <f>BH38-DA38</f>
        <v>0</v>
      </c>
      <c r="BI109" s="388">
        <f>BI38-DB38</f>
        <v>0</v>
      </c>
      <c r="BJ109" s="388">
        <f>BJ38-DC38</f>
        <v>0</v>
      </c>
      <c r="BK109" s="388">
        <f>BK38-DD38</f>
        <v>0</v>
      </c>
      <c r="BL109" s="388">
        <f>BL38-DE38</f>
        <v>0</v>
      </c>
      <c r="BM109" s="388">
        <f>BM38-DF38</f>
        <v>0</v>
      </c>
      <c r="BN109" s="388" t="e">
        <f>BN38-#REF!</f>
        <v>#REF!</v>
      </c>
      <c r="BO109" s="388" t="e">
        <f>BO38-#REF!</f>
        <v>#REF!</v>
      </c>
      <c r="BP109" s="388" t="e">
        <f>BP38-#REF!</f>
        <v>#REF!</v>
      </c>
      <c r="BQ109" s="388" t="e">
        <f>BQ38-#REF!</f>
        <v>#REF!</v>
      </c>
      <c r="BR109" s="388" t="e">
        <f>BR38-#REF!</f>
        <v>#REF!</v>
      </c>
      <c r="BS109" s="388" t="e">
        <f>BS38-#REF!</f>
        <v>#REF!</v>
      </c>
      <c r="BT109" s="388" t="e">
        <f>BT38-#REF!</f>
        <v>#REF!</v>
      </c>
      <c r="BU109" s="388" t="e">
        <f>BU38-#REF!</f>
        <v>#REF!</v>
      </c>
      <c r="BV109" s="388"/>
      <c r="BW109" s="388">
        <f>[39]domlongtermissues!BV99</f>
        <v>0</v>
      </c>
      <c r="DH109" s="38"/>
    </row>
    <row r="110" spans="13:112" hidden="1" x14ac:dyDescent="0.3">
      <c r="M110" s="388" t="e">
        <f>M39-#REF!</f>
        <v>#REF!</v>
      </c>
      <c r="N110" s="388" t="e">
        <f>N39-#REF!</f>
        <v>#REF!</v>
      </c>
      <c r="O110" s="388" t="e">
        <f>O39-#REF!</f>
        <v>#REF!</v>
      </c>
      <c r="P110" s="388" t="e">
        <f>P39-#REF!</f>
        <v>#REF!</v>
      </c>
      <c r="Q110" s="388" t="e">
        <f>Q39-#REF!</f>
        <v>#REF!</v>
      </c>
      <c r="R110" s="388" t="e">
        <f>R39-#REF!</f>
        <v>#REF!</v>
      </c>
      <c r="S110" s="388" t="e">
        <f>S39-#REF!</f>
        <v>#REF!</v>
      </c>
      <c r="T110" s="388" t="e">
        <f>T39-#REF!</f>
        <v>#REF!</v>
      </c>
      <c r="U110" s="388" t="e">
        <f>U39-#REF!</f>
        <v>#REF!</v>
      </c>
      <c r="V110" s="388" t="e">
        <f>V39-#REF!</f>
        <v>#REF!</v>
      </c>
      <c r="W110" s="388" t="e">
        <f>W39-#REF!</f>
        <v>#REF!</v>
      </c>
      <c r="X110" s="388" t="e">
        <f>X39-#REF!</f>
        <v>#REF!</v>
      </c>
      <c r="Y110" s="388" t="e">
        <f>Y39-#REF!</f>
        <v>#REF!</v>
      </c>
      <c r="Z110" s="388" t="e">
        <f>Z39-#REF!</f>
        <v>#REF!</v>
      </c>
      <c r="AA110" s="388" t="e">
        <f>AA39-#REF!</f>
        <v>#REF!</v>
      </c>
      <c r="AB110" s="388" t="e">
        <f>AB39-#REF!</f>
        <v>#REF!</v>
      </c>
      <c r="AC110" s="388" t="e">
        <f>AC39-#REF!</f>
        <v>#REF!</v>
      </c>
      <c r="AD110" s="388" t="e">
        <f>AD39-#REF!</f>
        <v>#REF!</v>
      </c>
      <c r="AE110" s="388">
        <f>AE39-BX39</f>
        <v>0</v>
      </c>
      <c r="AF110" s="388">
        <f>AF39-BY39</f>
        <v>0</v>
      </c>
      <c r="AG110" s="388">
        <f>AG39-BZ39</f>
        <v>0</v>
      </c>
      <c r="AH110" s="388">
        <f>AH39-CA39</f>
        <v>0</v>
      </c>
      <c r="AI110" s="388">
        <f>AI39-CB39</f>
        <v>0</v>
      </c>
      <c r="AJ110" s="388">
        <f>AJ39-CC39</f>
        <v>0</v>
      </c>
      <c r="AK110" s="388">
        <f>AK39-CD39</f>
        <v>0</v>
      </c>
      <c r="AL110" s="388">
        <f>AL39-CE39</f>
        <v>0</v>
      </c>
      <c r="AM110" s="388">
        <f>AM39-CF39</f>
        <v>0</v>
      </c>
      <c r="AN110" s="388">
        <f>AN39-CG39</f>
        <v>0</v>
      </c>
      <c r="AO110" s="388">
        <f>AO39-CH39</f>
        <v>0</v>
      </c>
      <c r="AP110" s="388">
        <f>AP39-CI39</f>
        <v>0</v>
      </c>
      <c r="AQ110" s="388">
        <f>AQ39-CJ39</f>
        <v>0</v>
      </c>
      <c r="AR110" s="388">
        <f>AR39-CK39</f>
        <v>0</v>
      </c>
      <c r="AS110" s="388">
        <f>AS39-CL39</f>
        <v>0</v>
      </c>
      <c r="AT110" s="388">
        <f>AT39-CM39</f>
        <v>0</v>
      </c>
      <c r="AU110" s="388">
        <f>AU39-CN39</f>
        <v>0</v>
      </c>
      <c r="AV110" s="388">
        <f>AV39-CO39</f>
        <v>0</v>
      </c>
      <c r="AW110" s="388">
        <f>AW39-CP39</f>
        <v>0</v>
      </c>
      <c r="AX110" s="388">
        <f>AX39-CQ39</f>
        <v>0</v>
      </c>
      <c r="AY110" s="388">
        <f>AY39-CR39</f>
        <v>0</v>
      </c>
      <c r="AZ110" s="388">
        <f>AZ39-CS39</f>
        <v>0</v>
      </c>
      <c r="BA110" s="388">
        <f>BA39-CT39</f>
        <v>0</v>
      </c>
      <c r="BB110" s="388">
        <f>BB39-CU39</f>
        <v>0</v>
      </c>
      <c r="BC110" s="388">
        <f>BC39-CV39</f>
        <v>0</v>
      </c>
      <c r="BD110" s="388">
        <f>BD39-CW39</f>
        <v>0</v>
      </c>
      <c r="BE110" s="388">
        <f>BE39-CX39</f>
        <v>0</v>
      </c>
      <c r="BF110" s="388">
        <f>BF39-CY39</f>
        <v>0</v>
      </c>
      <c r="BG110" s="388">
        <f>BG39-CZ39</f>
        <v>0</v>
      </c>
      <c r="BH110" s="388">
        <f>BH39-DA39</f>
        <v>0</v>
      </c>
      <c r="BI110" s="388">
        <f>BI39-DB39</f>
        <v>0</v>
      </c>
      <c r="BJ110" s="388">
        <f>BJ39-DC39</f>
        <v>0</v>
      </c>
      <c r="BK110" s="388">
        <f>BK39-DD39</f>
        <v>0</v>
      </c>
      <c r="BL110" s="388">
        <f>BL39-DE39</f>
        <v>0</v>
      </c>
      <c r="BM110" s="388">
        <f>BM39-DF39</f>
        <v>0</v>
      </c>
      <c r="BN110" s="388" t="e">
        <f>BN39-#REF!</f>
        <v>#REF!</v>
      </c>
      <c r="BO110" s="388" t="e">
        <f>BO39-#REF!</f>
        <v>#REF!</v>
      </c>
      <c r="BP110" s="388" t="e">
        <f>BP39-#REF!</f>
        <v>#REF!</v>
      </c>
      <c r="BQ110" s="388" t="e">
        <f>BQ39-#REF!</f>
        <v>#REF!</v>
      </c>
      <c r="BR110" s="388" t="e">
        <f>BR39-#REF!</f>
        <v>#REF!</v>
      </c>
      <c r="BS110" s="388" t="e">
        <f>BS39-#REF!</f>
        <v>#REF!</v>
      </c>
      <c r="BT110" s="388" t="e">
        <f>BT39-#REF!</f>
        <v>#REF!</v>
      </c>
      <c r="BU110" s="388" t="e">
        <f>BU39-#REF!</f>
        <v>#REF!</v>
      </c>
      <c r="BV110" s="388"/>
      <c r="BW110" s="388"/>
      <c r="DH110" s="38"/>
    </row>
    <row r="111" spans="13:112" hidden="1" x14ac:dyDescent="0.3">
      <c r="M111" s="388" t="e">
        <f>M40-#REF!</f>
        <v>#REF!</v>
      </c>
      <c r="N111" s="388" t="e">
        <f>N40-#REF!</f>
        <v>#REF!</v>
      </c>
      <c r="O111" s="388" t="e">
        <f>O40-#REF!</f>
        <v>#REF!</v>
      </c>
      <c r="P111" s="388" t="e">
        <f>P40-#REF!</f>
        <v>#REF!</v>
      </c>
      <c r="Q111" s="388" t="e">
        <f>Q40-#REF!</f>
        <v>#REF!</v>
      </c>
      <c r="R111" s="388" t="e">
        <f>R40-#REF!</f>
        <v>#REF!</v>
      </c>
      <c r="S111" s="388" t="e">
        <f>S40-#REF!</f>
        <v>#REF!</v>
      </c>
      <c r="T111" s="388" t="e">
        <f>T40-#REF!</f>
        <v>#REF!</v>
      </c>
      <c r="U111" s="388" t="e">
        <f>U40-#REF!</f>
        <v>#REF!</v>
      </c>
      <c r="V111" s="388" t="e">
        <f>V40-#REF!</f>
        <v>#REF!</v>
      </c>
      <c r="W111" s="388" t="e">
        <f>W40-#REF!</f>
        <v>#REF!</v>
      </c>
      <c r="X111" s="388" t="e">
        <f>X40-#REF!</f>
        <v>#REF!</v>
      </c>
      <c r="Y111" s="388" t="e">
        <f>Y40-#REF!</f>
        <v>#REF!</v>
      </c>
      <c r="Z111" s="388" t="e">
        <f>Z40-#REF!</f>
        <v>#REF!</v>
      </c>
      <c r="AA111" s="388" t="e">
        <f>AA40-#REF!</f>
        <v>#REF!</v>
      </c>
      <c r="AB111" s="388" t="e">
        <f>AB40-#REF!</f>
        <v>#REF!</v>
      </c>
      <c r="AC111" s="388" t="e">
        <f>AC40-#REF!</f>
        <v>#REF!</v>
      </c>
      <c r="AD111" s="388" t="e">
        <f>AD40-#REF!</f>
        <v>#REF!</v>
      </c>
      <c r="AE111" s="388">
        <f>AE40-BX40</f>
        <v>0</v>
      </c>
      <c r="AF111" s="388">
        <f>AF40-BY40</f>
        <v>0</v>
      </c>
      <c r="AG111" s="388">
        <f>AG40-BZ40</f>
        <v>0</v>
      </c>
      <c r="AH111" s="388">
        <f>AH40-CA40</f>
        <v>0</v>
      </c>
      <c r="AI111" s="388">
        <f>AI40-CB40</f>
        <v>0</v>
      </c>
      <c r="AJ111" s="388">
        <f>AJ40-CC40</f>
        <v>0</v>
      </c>
      <c r="AK111" s="388">
        <f>AK40-CD40</f>
        <v>0</v>
      </c>
      <c r="AL111" s="388">
        <f>AL40-CE40</f>
        <v>0</v>
      </c>
      <c r="AM111" s="388">
        <f>AM40-CF40</f>
        <v>0</v>
      </c>
      <c r="AN111" s="388">
        <f>AN40-CG40</f>
        <v>0</v>
      </c>
      <c r="AO111" s="388">
        <f>AO40-CH40</f>
        <v>0</v>
      </c>
      <c r="AP111" s="388">
        <f>AP40-CI40</f>
        <v>0</v>
      </c>
      <c r="AQ111" s="388">
        <f>AQ40-CJ40</f>
        <v>0</v>
      </c>
      <c r="AR111" s="388">
        <f>AR40-CK40</f>
        <v>0</v>
      </c>
      <c r="AS111" s="388">
        <f>AS40-CL40</f>
        <v>0</v>
      </c>
      <c r="AT111" s="388">
        <f>AT40-CM40</f>
        <v>0</v>
      </c>
      <c r="AU111" s="388">
        <f>AU40-CN40</f>
        <v>0</v>
      </c>
      <c r="AV111" s="388">
        <f>AV40-CO40</f>
        <v>0</v>
      </c>
      <c r="AW111" s="388">
        <f>AW40-CP40</f>
        <v>0</v>
      </c>
      <c r="AX111" s="388">
        <f>AX40-CQ40</f>
        <v>0</v>
      </c>
      <c r="AY111" s="388">
        <f>AY40-CR40</f>
        <v>0</v>
      </c>
      <c r="AZ111" s="388">
        <f>AZ40-CS40</f>
        <v>0</v>
      </c>
      <c r="BA111" s="388">
        <f>BA40-CT40</f>
        <v>0</v>
      </c>
      <c r="BB111" s="388">
        <f>BB40-CU40</f>
        <v>0</v>
      </c>
      <c r="BC111" s="388">
        <f>BC40-CV40</f>
        <v>0</v>
      </c>
      <c r="BD111" s="388">
        <f>BD40-CW40</f>
        <v>0</v>
      </c>
      <c r="BE111" s="388">
        <f>BE40-CX40</f>
        <v>0</v>
      </c>
      <c r="BF111" s="388">
        <f>BF40-CY40</f>
        <v>0</v>
      </c>
      <c r="BG111" s="388">
        <f>BG40-CZ40</f>
        <v>0</v>
      </c>
      <c r="BH111" s="388">
        <f>BH40-DA40</f>
        <v>0</v>
      </c>
      <c r="BI111" s="388">
        <f>BI40-DB40</f>
        <v>0</v>
      </c>
      <c r="BJ111" s="388">
        <f>BJ40-DC40</f>
        <v>0</v>
      </c>
      <c r="BK111" s="388">
        <f>BK40-DD40</f>
        <v>0</v>
      </c>
      <c r="BL111" s="388">
        <f>BL40-DE40</f>
        <v>0</v>
      </c>
      <c r="BM111" s="388">
        <f>BM40-DF40</f>
        <v>0</v>
      </c>
      <c r="BN111" s="388" t="e">
        <f>BN40-#REF!</f>
        <v>#REF!</v>
      </c>
      <c r="BO111" s="388" t="e">
        <f>BO40-#REF!</f>
        <v>#REF!</v>
      </c>
      <c r="BP111" s="388" t="e">
        <f>BP40-#REF!</f>
        <v>#REF!</v>
      </c>
      <c r="BQ111" s="388" t="e">
        <f>BQ40-#REF!</f>
        <v>#REF!</v>
      </c>
      <c r="BR111" s="388" t="e">
        <f>BR40-#REF!</f>
        <v>#REF!</v>
      </c>
      <c r="BS111" s="388" t="e">
        <f>BS40-#REF!</f>
        <v>#REF!</v>
      </c>
      <c r="BT111" s="388" t="e">
        <f>BT40-#REF!</f>
        <v>#REF!</v>
      </c>
      <c r="BU111" s="388" t="e">
        <f>BU40-#REF!</f>
        <v>#REF!</v>
      </c>
      <c r="BV111" s="388"/>
      <c r="BW111" s="388"/>
      <c r="DH111" s="38"/>
    </row>
    <row r="112" spans="13:112" hidden="1" x14ac:dyDescent="0.3">
      <c r="M112" s="388" t="e">
        <f>M41-#REF!</f>
        <v>#REF!</v>
      </c>
      <c r="N112" s="388" t="e">
        <f>N41-#REF!</f>
        <v>#REF!</v>
      </c>
      <c r="O112" s="388" t="e">
        <f>O41-#REF!</f>
        <v>#REF!</v>
      </c>
      <c r="P112" s="388" t="e">
        <f>P41-#REF!</f>
        <v>#REF!</v>
      </c>
      <c r="Q112" s="388" t="e">
        <f>Q41-#REF!</f>
        <v>#REF!</v>
      </c>
      <c r="R112" s="388" t="e">
        <f>R41-#REF!</f>
        <v>#REF!</v>
      </c>
      <c r="S112" s="388" t="e">
        <f>S41-#REF!</f>
        <v>#REF!</v>
      </c>
      <c r="T112" s="388" t="e">
        <f>T41-#REF!</f>
        <v>#REF!</v>
      </c>
      <c r="U112" s="388" t="e">
        <f>U41-#REF!</f>
        <v>#REF!</v>
      </c>
      <c r="V112" s="388" t="e">
        <f>V41-#REF!</f>
        <v>#REF!</v>
      </c>
      <c r="W112" s="388" t="e">
        <f>W41-#REF!</f>
        <v>#REF!</v>
      </c>
      <c r="X112" s="388" t="e">
        <f>X41-#REF!</f>
        <v>#REF!</v>
      </c>
      <c r="Y112" s="388" t="e">
        <f>Y41-#REF!</f>
        <v>#REF!</v>
      </c>
      <c r="Z112" s="388" t="e">
        <f>Z41-#REF!</f>
        <v>#REF!</v>
      </c>
      <c r="AA112" s="388" t="e">
        <f>AA41-#REF!</f>
        <v>#REF!</v>
      </c>
      <c r="AB112" s="388" t="e">
        <f>AB41-#REF!</f>
        <v>#REF!</v>
      </c>
      <c r="AC112" s="388" t="e">
        <f>AC41-#REF!</f>
        <v>#REF!</v>
      </c>
      <c r="AD112" s="388" t="e">
        <f>AD41-#REF!</f>
        <v>#REF!</v>
      </c>
      <c r="AE112" s="388">
        <f>AE41-BX41</f>
        <v>0</v>
      </c>
      <c r="AF112" s="388">
        <f>AF41-BY41</f>
        <v>0</v>
      </c>
      <c r="AG112" s="388">
        <f>AG41-BZ41</f>
        <v>0</v>
      </c>
      <c r="AH112" s="388">
        <f>AH41-CA41</f>
        <v>0</v>
      </c>
      <c r="AI112" s="388">
        <f>AI41-CB41</f>
        <v>0</v>
      </c>
      <c r="AJ112" s="388">
        <f>AJ41-CC41</f>
        <v>0</v>
      </c>
      <c r="AK112" s="388">
        <f>AK41-CD41</f>
        <v>0</v>
      </c>
      <c r="AL112" s="388">
        <f>AL41-CE41</f>
        <v>0</v>
      </c>
      <c r="AM112" s="388">
        <f>AM41-CF41</f>
        <v>0</v>
      </c>
      <c r="AN112" s="388">
        <f>AN41-CG41</f>
        <v>0</v>
      </c>
      <c r="AO112" s="388">
        <f>AO41-CH41</f>
        <v>0</v>
      </c>
      <c r="AP112" s="388">
        <f>AP41-CI41</f>
        <v>0</v>
      </c>
      <c r="AQ112" s="388">
        <f>AQ41-CJ41</f>
        <v>0</v>
      </c>
      <c r="AR112" s="388">
        <f>AR41-CK41</f>
        <v>0</v>
      </c>
      <c r="AS112" s="388">
        <f>AS41-CL41</f>
        <v>0</v>
      </c>
      <c r="AT112" s="388">
        <f>AT41-CM41</f>
        <v>0</v>
      </c>
      <c r="AU112" s="388">
        <f>AU41-CN41</f>
        <v>0</v>
      </c>
      <c r="AV112" s="388">
        <f>AV41-CO41</f>
        <v>0</v>
      </c>
      <c r="AW112" s="388">
        <f>AW41-CP41</f>
        <v>0</v>
      </c>
      <c r="AX112" s="388">
        <f>AX41-CQ41</f>
        <v>0</v>
      </c>
      <c r="AY112" s="388">
        <f>AY41-CR41</f>
        <v>0</v>
      </c>
      <c r="AZ112" s="388">
        <f>AZ41-CS41</f>
        <v>0</v>
      </c>
      <c r="BA112" s="388">
        <f>BA41-CT41</f>
        <v>0</v>
      </c>
      <c r="BB112" s="388">
        <f>BB41-CU41</f>
        <v>0</v>
      </c>
      <c r="BC112" s="388">
        <f>BC41-CV41</f>
        <v>0</v>
      </c>
      <c r="BD112" s="388">
        <f>BD41-CW41</f>
        <v>0</v>
      </c>
      <c r="BE112" s="388">
        <f>BE41-CX41</f>
        <v>0</v>
      </c>
      <c r="BF112" s="388">
        <f>BF41-CY41</f>
        <v>0</v>
      </c>
      <c r="BG112" s="388">
        <f>BG41-CZ41</f>
        <v>0</v>
      </c>
      <c r="BH112" s="388">
        <f>BH41-DA41</f>
        <v>0</v>
      </c>
      <c r="BI112" s="388">
        <f>BI41-DB41</f>
        <v>0</v>
      </c>
      <c r="BJ112" s="388">
        <f>BJ41-DC41</f>
        <v>0</v>
      </c>
      <c r="BK112" s="388">
        <f>BK41-DD41</f>
        <v>0</v>
      </c>
      <c r="BL112" s="388">
        <f>BL41-DE41</f>
        <v>0</v>
      </c>
      <c r="BM112" s="388">
        <f>BM41-DF41</f>
        <v>0</v>
      </c>
      <c r="BN112" s="388" t="e">
        <f>BN41-#REF!</f>
        <v>#REF!</v>
      </c>
      <c r="BO112" s="388" t="e">
        <f>BO41-#REF!</f>
        <v>#REF!</v>
      </c>
      <c r="BP112" s="388" t="e">
        <f>BP41-#REF!</f>
        <v>#REF!</v>
      </c>
      <c r="BQ112" s="388" t="e">
        <f>BQ41-#REF!</f>
        <v>#REF!</v>
      </c>
      <c r="BR112" s="388" t="e">
        <f>BR41-#REF!</f>
        <v>#REF!</v>
      </c>
      <c r="BS112" s="388" t="e">
        <f>BS41-#REF!</f>
        <v>#REF!</v>
      </c>
      <c r="BT112" s="388" t="e">
        <f>BT41-#REF!</f>
        <v>#REF!</v>
      </c>
      <c r="BU112" s="388" t="e">
        <f>BU41-#REF!</f>
        <v>#REF!</v>
      </c>
      <c r="BV112" s="388"/>
      <c r="BW112" s="388"/>
      <c r="DH112" s="38"/>
    </row>
    <row r="113" spans="74:112" hidden="1" x14ac:dyDescent="0.3">
      <c r="BV113" s="388"/>
      <c r="BW113" s="389">
        <f>+BW114+BW122+BW129</f>
        <v>0</v>
      </c>
      <c r="DH113" s="38"/>
    </row>
    <row r="114" spans="74:112" hidden="1" x14ac:dyDescent="0.3">
      <c r="BV114" s="388"/>
      <c r="BW114" s="388">
        <f>SUM(BW115:BW120)</f>
        <v>0</v>
      </c>
      <c r="DH114" s="38"/>
    </row>
    <row r="115" spans="74:112" hidden="1" x14ac:dyDescent="0.3">
      <c r="BV115" s="388"/>
      <c r="BW115" s="388">
        <f>+[39]foreigndebt!BV113</f>
        <v>0</v>
      </c>
      <c r="DH115" s="38"/>
    </row>
    <row r="116" spans="74:112" hidden="1" x14ac:dyDescent="0.3">
      <c r="BV116" s="388"/>
      <c r="BW116" s="388">
        <f>-[39]foreigndebt!BV115</f>
        <v>0</v>
      </c>
      <c r="DH116" s="38"/>
    </row>
    <row r="117" spans="74:112" hidden="1" x14ac:dyDescent="0.3">
      <c r="BV117" s="388"/>
      <c r="BW117" s="388"/>
      <c r="DH117" s="38"/>
    </row>
    <row r="118" spans="74:112" hidden="1" x14ac:dyDescent="0.3">
      <c r="BV118" s="388"/>
      <c r="BW118" s="388"/>
      <c r="DH118" s="38"/>
    </row>
    <row r="119" spans="74:112" hidden="1" x14ac:dyDescent="0.3">
      <c r="BV119" s="388"/>
      <c r="BW119" s="388">
        <f>-[39]foreigndebt!BV184</f>
        <v>0</v>
      </c>
      <c r="DH119" s="38"/>
    </row>
    <row r="120" spans="74:112" hidden="1" x14ac:dyDescent="0.3">
      <c r="BV120" s="388"/>
      <c r="BW120" s="388">
        <f>-[39]foreigndebt!BV185</f>
        <v>0</v>
      </c>
      <c r="DH120" s="38"/>
    </row>
    <row r="121" spans="74:112" hidden="1" x14ac:dyDescent="0.3">
      <c r="BV121" s="388"/>
      <c r="BW121" s="388"/>
      <c r="DH121" s="38"/>
    </row>
    <row r="122" spans="74:112" hidden="1" x14ac:dyDescent="0.3">
      <c r="BV122" s="388"/>
      <c r="BW122" s="388">
        <f>SUM(BW123:BW127)</f>
        <v>0</v>
      </c>
      <c r="DH122" s="38"/>
    </row>
    <row r="123" spans="74:112" hidden="1" x14ac:dyDescent="0.3">
      <c r="BV123" s="388"/>
      <c r="BW123" s="388">
        <f>[39]foreigndebt!BV134</f>
        <v>0</v>
      </c>
      <c r="DH123" s="38"/>
    </row>
    <row r="124" spans="74:112" hidden="1" x14ac:dyDescent="0.3">
      <c r="BV124" s="388"/>
      <c r="BW124" s="388">
        <f>-[39]foreigndebt!BV136</f>
        <v>0</v>
      </c>
      <c r="DH124" s="38"/>
    </row>
    <row r="125" spans="74:112" hidden="1" x14ac:dyDescent="0.3">
      <c r="BV125" s="388"/>
      <c r="BW125" s="388"/>
      <c r="DH125" s="38"/>
    </row>
    <row r="126" spans="74:112" hidden="1" x14ac:dyDescent="0.3">
      <c r="BV126" s="388"/>
      <c r="BW126" s="388">
        <f>-[39]foreigndebt!BV227</f>
        <v>0</v>
      </c>
      <c r="DH126" s="38"/>
    </row>
    <row r="127" spans="74:112" hidden="1" x14ac:dyDescent="0.3">
      <c r="BV127" s="388"/>
      <c r="BW127" s="388">
        <f>-[39]foreigndebt!BV228</f>
        <v>0</v>
      </c>
      <c r="DH127" s="38"/>
    </row>
    <row r="128" spans="74:112" hidden="1" x14ac:dyDescent="0.3">
      <c r="BV128" s="388"/>
      <c r="BW128" s="388"/>
      <c r="DH128" s="38"/>
    </row>
    <row r="129" spans="74:112" hidden="1" x14ac:dyDescent="0.3">
      <c r="BV129" s="388"/>
      <c r="BW129" s="388">
        <f>SUM(BW130:BW134)</f>
        <v>0</v>
      </c>
      <c r="DH129" s="38"/>
    </row>
    <row r="130" spans="74:112" hidden="1" x14ac:dyDescent="0.3">
      <c r="BV130" s="388"/>
      <c r="BW130" s="388">
        <f>[39]foreigndebt!BV148</f>
        <v>0</v>
      </c>
      <c r="DH130" s="38"/>
    </row>
    <row r="131" spans="74:112" hidden="1" x14ac:dyDescent="0.3">
      <c r="BV131" s="388"/>
      <c r="BW131" s="388">
        <f>-[39]foreigndebt!BV150</f>
        <v>0</v>
      </c>
      <c r="DH131" s="38"/>
    </row>
    <row r="132" spans="74:112" hidden="1" x14ac:dyDescent="0.3">
      <c r="BV132" s="388"/>
      <c r="BW132" s="388"/>
      <c r="DH132" s="38"/>
    </row>
    <row r="133" spans="74:112" hidden="1" x14ac:dyDescent="0.3">
      <c r="BV133" s="388"/>
      <c r="BW133" s="388">
        <f>-[39]foreigndebt!BV239</f>
        <v>0</v>
      </c>
      <c r="DH133" s="38"/>
    </row>
    <row r="134" spans="74:112" hidden="1" x14ac:dyDescent="0.3">
      <c r="BV134" s="388"/>
      <c r="BW134" s="388">
        <f>-[39]foreigndebt!BV240</f>
        <v>0</v>
      </c>
      <c r="DH134" s="38"/>
    </row>
    <row r="135" spans="74:112" hidden="1" x14ac:dyDescent="0.3">
      <c r="BV135" s="388"/>
      <c r="BW135" s="388"/>
      <c r="DH135" s="38"/>
    </row>
    <row r="136" spans="74:112" hidden="1" x14ac:dyDescent="0.3">
      <c r="BV136" s="388"/>
      <c r="BW136" s="388"/>
      <c r="DH136" s="38"/>
    </row>
    <row r="137" spans="74:112" hidden="1" x14ac:dyDescent="0.3">
      <c r="BV137" s="388"/>
      <c r="BW137" s="389">
        <f>SUM(BW138:BW145)</f>
        <v>1</v>
      </c>
      <c r="DH137" s="38"/>
    </row>
    <row r="138" spans="74:112" hidden="1" x14ac:dyDescent="0.3">
      <c r="BV138" s="388"/>
      <c r="BW138" s="388">
        <f>+[39]cashbalances!BW86</f>
        <v>0</v>
      </c>
      <c r="DH138" s="38"/>
    </row>
    <row r="139" spans="74:112" hidden="1" x14ac:dyDescent="0.3">
      <c r="BV139" s="388"/>
      <c r="BW139" s="388"/>
      <c r="DH139" s="38"/>
    </row>
    <row r="140" spans="74:112" hidden="1" x14ac:dyDescent="0.3">
      <c r="BV140" s="388"/>
      <c r="BW140" s="388">
        <f>+[39]cashbalances!BW97</f>
        <v>0</v>
      </c>
      <c r="DH140" s="38"/>
    </row>
    <row r="141" spans="74:112" hidden="1" x14ac:dyDescent="0.3">
      <c r="BV141" s="388"/>
      <c r="BW141" s="388">
        <f>[39]cashbalances!BW99</f>
        <v>0</v>
      </c>
      <c r="DH141" s="38"/>
    </row>
    <row r="142" spans="74:112" hidden="1" x14ac:dyDescent="0.3">
      <c r="BV142" s="388"/>
      <c r="BW142" s="388">
        <f>+[39]cashbalances!BW101</f>
        <v>0</v>
      </c>
      <c r="DH142" s="38"/>
    </row>
    <row r="143" spans="74:112" hidden="1" x14ac:dyDescent="0.3">
      <c r="BV143" s="388"/>
      <c r="BW143" s="388">
        <f>+[39]cashbalances!BW106</f>
        <v>0</v>
      </c>
      <c r="DH143" s="38"/>
    </row>
    <row r="144" spans="74:112" hidden="1" x14ac:dyDescent="0.3">
      <c r="BV144" s="388"/>
      <c r="BW144" s="388"/>
      <c r="DH144" s="38"/>
    </row>
    <row r="145" spans="74:112" x14ac:dyDescent="0.3">
      <c r="BV145" s="388"/>
      <c r="BW145" s="388">
        <f>+[39]cashbalances!BW112+1</f>
        <v>1</v>
      </c>
      <c r="DH145" s="38"/>
    </row>
    <row r="146" spans="74:112" x14ac:dyDescent="0.3">
      <c r="BV146" s="388"/>
      <c r="BW146" s="388"/>
      <c r="DH146" s="38"/>
    </row>
    <row r="147" spans="74:112" x14ac:dyDescent="0.3">
      <c r="BV147" s="388"/>
      <c r="BW147" s="389" t="e">
        <f>+BW81+BW91+BW113+BW137</f>
        <v>#REF!</v>
      </c>
      <c r="DH147" s="38"/>
    </row>
    <row r="148" spans="74:112" x14ac:dyDescent="0.3">
      <c r="BV148" s="388"/>
      <c r="BW148" s="388"/>
      <c r="DH148" s="38"/>
    </row>
  </sheetData>
  <mergeCells count="2">
    <mergeCell ref="H8:BU8"/>
    <mergeCell ref="BX8:DF8"/>
  </mergeCells>
  <pageMargins left="0.7" right="0.7" top="0.75" bottom="0.75" header="0.3" footer="0.3"/>
  <pageSetup paperSize="9" scale="2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48"/>
  <sheetViews>
    <sheetView view="pageBreakPreview" topLeftCell="BA182" zoomScale="142" zoomScaleNormal="100" zoomScaleSheetLayoutView="142" workbookViewId="0">
      <selection activeCell="BN12" sqref="BN12"/>
    </sheetView>
  </sheetViews>
  <sheetFormatPr defaultColWidth="10" defaultRowHeight="13.8" x14ac:dyDescent="0.3"/>
  <cols>
    <col min="1" max="1" width="1.88671875" style="38" hidden="1" customWidth="1"/>
    <col min="2" max="2" width="1.109375" style="38" hidden="1" customWidth="1"/>
    <col min="3" max="3" width="1" style="38" customWidth="1"/>
    <col min="4" max="4" width="56" style="38" customWidth="1"/>
    <col min="5" max="5" width="1" style="404" customWidth="1"/>
    <col min="6" max="6" width="1" style="38" customWidth="1"/>
    <col min="7" max="7" width="14.44140625" style="38" customWidth="1"/>
    <col min="8" max="11" width="1" style="38" customWidth="1"/>
    <col min="12" max="12" width="17.88671875" style="38" customWidth="1"/>
    <col min="13" max="16" width="1" style="38" customWidth="1"/>
    <col min="17" max="17" width="14.44140625" style="38" customWidth="1"/>
    <col min="18" max="21" width="1" style="38" customWidth="1"/>
    <col min="22" max="22" width="17.88671875" style="38" customWidth="1"/>
    <col min="23" max="26" width="1" style="38" customWidth="1"/>
    <col min="27" max="27" width="17.88671875" style="38" customWidth="1"/>
    <col min="28" max="31" width="1" style="38" customWidth="1"/>
    <col min="32" max="32" width="17.88671875" style="38" customWidth="1"/>
    <col min="33" max="35" width="1" style="38" customWidth="1"/>
    <col min="36" max="36" width="1.109375" style="38" customWidth="1"/>
    <col min="37" max="37" width="17.88671875" style="38" customWidth="1"/>
    <col min="38" max="41" width="1" style="38" customWidth="1"/>
    <col min="42" max="42" width="17.88671875" style="38" customWidth="1"/>
    <col min="43" max="46" width="1" style="38" customWidth="1"/>
    <col min="47" max="47" width="17.88671875" style="38" customWidth="1"/>
    <col min="48" max="51" width="1" style="38" customWidth="1"/>
    <col min="52" max="52" width="17.88671875" style="38" customWidth="1"/>
    <col min="53" max="56" width="1" style="38" customWidth="1"/>
    <col min="57" max="57" width="17.88671875" style="38" customWidth="1"/>
    <col min="58" max="61" width="1" style="38" customWidth="1"/>
    <col min="62" max="62" width="17.88671875" style="38" customWidth="1"/>
    <col min="63" max="66" width="1" style="38" customWidth="1"/>
    <col min="67" max="67" width="17.88671875" style="38" customWidth="1"/>
    <col min="68" max="71" width="1" style="38" customWidth="1"/>
    <col min="72" max="72" width="17.88671875" style="38" customWidth="1"/>
    <col min="73" max="74" width="1" style="38" customWidth="1"/>
    <col min="75" max="75" width="2" style="38" customWidth="1"/>
    <col min="76" max="76" width="3.88671875" style="38" customWidth="1"/>
    <col min="77" max="77" width="15.6640625" style="38" customWidth="1"/>
    <col min="78" max="78" width="13.44140625" style="38" bestFit="1" customWidth="1"/>
    <col min="79" max="79" width="13.88671875" style="38" customWidth="1"/>
    <col min="80" max="80" width="13.44140625" style="38" bestFit="1" customWidth="1"/>
    <col min="81" max="186" width="10" style="38"/>
    <col min="187" max="188" width="0" style="38" hidden="1" customWidth="1"/>
    <col min="189" max="189" width="1" style="38" customWidth="1"/>
    <col min="190" max="190" width="56" style="38" customWidth="1"/>
    <col min="191" max="192" width="1" style="38" customWidth="1"/>
    <col min="193" max="193" width="14.44140625" style="38" customWidth="1"/>
    <col min="194" max="195" width="1" style="38" customWidth="1"/>
    <col min="196" max="250" width="0" style="38" hidden="1" customWidth="1"/>
    <col min="251" max="252" width="1" style="38" customWidth="1"/>
    <col min="253" max="253" width="17.88671875" style="38" customWidth="1"/>
    <col min="254" max="257" width="1" style="38" customWidth="1"/>
    <col min="258" max="258" width="17.88671875" style="38" customWidth="1"/>
    <col min="259" max="262" width="1" style="38" customWidth="1"/>
    <col min="263" max="263" width="17.88671875" style="38" customWidth="1"/>
    <col min="264" max="265" width="1" style="38" customWidth="1"/>
    <col min="266" max="320" width="0" style="38" hidden="1" customWidth="1"/>
    <col min="321" max="322" width="1" style="38" customWidth="1"/>
    <col min="323" max="323" width="17.88671875" style="38" customWidth="1"/>
    <col min="324" max="327" width="1" style="38" customWidth="1"/>
    <col min="328" max="328" width="14.44140625" style="38" customWidth="1"/>
    <col min="329" max="330" width="1" style="38" customWidth="1"/>
    <col min="331" max="331" width="2" style="38" customWidth="1"/>
    <col min="332" max="332" width="3.88671875" style="38" customWidth="1"/>
    <col min="333" max="333" width="15.6640625" style="38" customWidth="1"/>
    <col min="334" max="334" width="13.44140625" style="38" bestFit="1" customWidth="1"/>
    <col min="335" max="335" width="13.88671875" style="38" customWidth="1"/>
    <col min="336" max="336" width="13.44140625" style="38" bestFit="1" customWidth="1"/>
    <col min="337" max="442" width="10" style="38"/>
    <col min="443" max="444" width="0" style="38" hidden="1" customWidth="1"/>
    <col min="445" max="445" width="1" style="38" customWidth="1"/>
    <col min="446" max="446" width="56" style="38" customWidth="1"/>
    <col min="447" max="448" width="1" style="38" customWidth="1"/>
    <col min="449" max="449" width="14.44140625" style="38" customWidth="1"/>
    <col min="450" max="451" width="1" style="38" customWidth="1"/>
    <col min="452" max="506" width="0" style="38" hidden="1" customWidth="1"/>
    <col min="507" max="508" width="1" style="38" customWidth="1"/>
    <col min="509" max="509" width="17.88671875" style="38" customWidth="1"/>
    <col min="510" max="513" width="1" style="38" customWidth="1"/>
    <col min="514" max="514" width="17.88671875" style="38" customWidth="1"/>
    <col min="515" max="518" width="1" style="38" customWidth="1"/>
    <col min="519" max="519" width="17.88671875" style="38" customWidth="1"/>
    <col min="520" max="521" width="1" style="38" customWidth="1"/>
    <col min="522" max="576" width="0" style="38" hidden="1" customWidth="1"/>
    <col min="577" max="578" width="1" style="38" customWidth="1"/>
    <col min="579" max="579" width="17.88671875" style="38" customWidth="1"/>
    <col min="580" max="583" width="1" style="38" customWidth="1"/>
    <col min="584" max="584" width="14.44140625" style="38" customWidth="1"/>
    <col min="585" max="586" width="1" style="38" customWidth="1"/>
    <col min="587" max="587" width="2" style="38" customWidth="1"/>
    <col min="588" max="588" width="3.88671875" style="38" customWidth="1"/>
    <col min="589" max="589" width="15.6640625" style="38" customWidth="1"/>
    <col min="590" max="590" width="13.44140625" style="38" bestFit="1" customWidth="1"/>
    <col min="591" max="591" width="13.88671875" style="38" customWidth="1"/>
    <col min="592" max="592" width="13.44140625" style="38" bestFit="1" customWidth="1"/>
    <col min="593" max="698" width="10" style="38"/>
    <col min="699" max="700" width="0" style="38" hidden="1" customWidth="1"/>
    <col min="701" max="701" width="1" style="38" customWidth="1"/>
    <col min="702" max="702" width="56" style="38" customWidth="1"/>
    <col min="703" max="704" width="1" style="38" customWidth="1"/>
    <col min="705" max="705" width="14.44140625" style="38" customWidth="1"/>
    <col min="706" max="707" width="1" style="38" customWidth="1"/>
    <col min="708" max="762" width="0" style="38" hidden="1" customWidth="1"/>
    <col min="763" max="764" width="1" style="38" customWidth="1"/>
    <col min="765" max="765" width="17.88671875" style="38" customWidth="1"/>
    <col min="766" max="769" width="1" style="38" customWidth="1"/>
    <col min="770" max="770" width="17.88671875" style="38" customWidth="1"/>
    <col min="771" max="774" width="1" style="38" customWidth="1"/>
    <col min="775" max="775" width="17.88671875" style="38" customWidth="1"/>
    <col min="776" max="777" width="1" style="38" customWidth="1"/>
    <col min="778" max="832" width="0" style="38" hidden="1" customWidth="1"/>
    <col min="833" max="834" width="1" style="38" customWidth="1"/>
    <col min="835" max="835" width="17.88671875" style="38" customWidth="1"/>
    <col min="836" max="839" width="1" style="38" customWidth="1"/>
    <col min="840" max="840" width="14.44140625" style="38" customWidth="1"/>
    <col min="841" max="842" width="1" style="38" customWidth="1"/>
    <col min="843" max="843" width="2" style="38" customWidth="1"/>
    <col min="844" max="844" width="3.88671875" style="38" customWidth="1"/>
    <col min="845" max="845" width="15.6640625" style="38" customWidth="1"/>
    <col min="846" max="846" width="13.44140625" style="38" bestFit="1" customWidth="1"/>
    <col min="847" max="847" width="13.88671875" style="38" customWidth="1"/>
    <col min="848" max="848" width="13.44140625" style="38" bestFit="1" customWidth="1"/>
    <col min="849" max="954" width="10" style="38"/>
    <col min="955" max="956" width="0" style="38" hidden="1" customWidth="1"/>
    <col min="957" max="957" width="1" style="38" customWidth="1"/>
    <col min="958" max="958" width="56" style="38" customWidth="1"/>
    <col min="959" max="960" width="1" style="38" customWidth="1"/>
    <col min="961" max="961" width="14.44140625" style="38" customWidth="1"/>
    <col min="962" max="963" width="1" style="38" customWidth="1"/>
    <col min="964" max="1018" width="0" style="38" hidden="1" customWidth="1"/>
    <col min="1019" max="1020" width="1" style="38" customWidth="1"/>
    <col min="1021" max="1021" width="17.88671875" style="38" customWidth="1"/>
    <col min="1022" max="1025" width="1" style="38" customWidth="1"/>
    <col min="1026" max="1026" width="17.88671875" style="38" customWidth="1"/>
    <col min="1027" max="1030" width="1" style="38" customWidth="1"/>
    <col min="1031" max="1031" width="17.88671875" style="38" customWidth="1"/>
    <col min="1032" max="1033" width="1" style="38" customWidth="1"/>
    <col min="1034" max="1088" width="0" style="38" hidden="1" customWidth="1"/>
    <col min="1089" max="1090" width="1" style="38" customWidth="1"/>
    <col min="1091" max="1091" width="17.88671875" style="38" customWidth="1"/>
    <col min="1092" max="1095" width="1" style="38" customWidth="1"/>
    <col min="1096" max="1096" width="14.44140625" style="38" customWidth="1"/>
    <col min="1097" max="1098" width="1" style="38" customWidth="1"/>
    <col min="1099" max="1099" width="2" style="38" customWidth="1"/>
    <col min="1100" max="1100" width="3.88671875" style="38" customWidth="1"/>
    <col min="1101" max="1101" width="15.6640625" style="38" customWidth="1"/>
    <col min="1102" max="1102" width="13.44140625" style="38" bestFit="1" customWidth="1"/>
    <col min="1103" max="1103" width="13.88671875" style="38" customWidth="1"/>
    <col min="1104" max="1104" width="13.44140625" style="38" bestFit="1" customWidth="1"/>
    <col min="1105" max="1210" width="10" style="38"/>
    <col min="1211" max="1212" width="0" style="38" hidden="1" customWidth="1"/>
    <col min="1213" max="1213" width="1" style="38" customWidth="1"/>
    <col min="1214" max="1214" width="56" style="38" customWidth="1"/>
    <col min="1215" max="1216" width="1" style="38" customWidth="1"/>
    <col min="1217" max="1217" width="14.44140625" style="38" customWidth="1"/>
    <col min="1218" max="1219" width="1" style="38" customWidth="1"/>
    <col min="1220" max="1274" width="0" style="38" hidden="1" customWidth="1"/>
    <col min="1275" max="1276" width="1" style="38" customWidth="1"/>
    <col min="1277" max="1277" width="17.88671875" style="38" customWidth="1"/>
    <col min="1278" max="1281" width="1" style="38" customWidth="1"/>
    <col min="1282" max="1282" width="17.88671875" style="38" customWidth="1"/>
    <col min="1283" max="1286" width="1" style="38" customWidth="1"/>
    <col min="1287" max="1287" width="17.88671875" style="38" customWidth="1"/>
    <col min="1288" max="1289" width="1" style="38" customWidth="1"/>
    <col min="1290" max="1344" width="0" style="38" hidden="1" customWidth="1"/>
    <col min="1345" max="1346" width="1" style="38" customWidth="1"/>
    <col min="1347" max="1347" width="17.88671875" style="38" customWidth="1"/>
    <col min="1348" max="1351" width="1" style="38" customWidth="1"/>
    <col min="1352" max="1352" width="14.44140625" style="38" customWidth="1"/>
    <col min="1353" max="1354" width="1" style="38" customWidth="1"/>
    <col min="1355" max="1355" width="2" style="38" customWidth="1"/>
    <col min="1356" max="1356" width="3.88671875" style="38" customWidth="1"/>
    <col min="1357" max="1357" width="15.6640625" style="38" customWidth="1"/>
    <col min="1358" max="1358" width="13.44140625" style="38" bestFit="1" customWidth="1"/>
    <col min="1359" max="1359" width="13.88671875" style="38" customWidth="1"/>
    <col min="1360" max="1360" width="13.44140625" style="38" bestFit="1" customWidth="1"/>
    <col min="1361" max="1466" width="10" style="38"/>
    <col min="1467" max="1468" width="0" style="38" hidden="1" customWidth="1"/>
    <col min="1469" max="1469" width="1" style="38" customWidth="1"/>
    <col min="1470" max="1470" width="56" style="38" customWidth="1"/>
    <col min="1471" max="1472" width="1" style="38" customWidth="1"/>
    <col min="1473" max="1473" width="14.44140625" style="38" customWidth="1"/>
    <col min="1474" max="1475" width="1" style="38" customWidth="1"/>
    <col min="1476" max="1530" width="0" style="38" hidden="1" customWidth="1"/>
    <col min="1531" max="1532" width="1" style="38" customWidth="1"/>
    <col min="1533" max="1533" width="17.88671875" style="38" customWidth="1"/>
    <col min="1534" max="1537" width="1" style="38" customWidth="1"/>
    <col min="1538" max="1538" width="17.88671875" style="38" customWidth="1"/>
    <col min="1539" max="1542" width="1" style="38" customWidth="1"/>
    <col min="1543" max="1543" width="17.88671875" style="38" customWidth="1"/>
    <col min="1544" max="1545" width="1" style="38" customWidth="1"/>
    <col min="1546" max="1600" width="0" style="38" hidden="1" customWidth="1"/>
    <col min="1601" max="1602" width="1" style="38" customWidth="1"/>
    <col min="1603" max="1603" width="17.88671875" style="38" customWidth="1"/>
    <col min="1604" max="1607" width="1" style="38" customWidth="1"/>
    <col min="1608" max="1608" width="14.44140625" style="38" customWidth="1"/>
    <col min="1609" max="1610" width="1" style="38" customWidth="1"/>
    <col min="1611" max="1611" width="2" style="38" customWidth="1"/>
    <col min="1612" max="1612" width="3.88671875" style="38" customWidth="1"/>
    <col min="1613" max="1613" width="15.6640625" style="38" customWidth="1"/>
    <col min="1614" max="1614" width="13.44140625" style="38" bestFit="1" customWidth="1"/>
    <col min="1615" max="1615" width="13.88671875" style="38" customWidth="1"/>
    <col min="1616" max="1616" width="13.44140625" style="38" bestFit="1" customWidth="1"/>
    <col min="1617" max="1722" width="10" style="38"/>
    <col min="1723" max="1724" width="0" style="38" hidden="1" customWidth="1"/>
    <col min="1725" max="1725" width="1" style="38" customWidth="1"/>
    <col min="1726" max="1726" width="56" style="38" customWidth="1"/>
    <col min="1727" max="1728" width="1" style="38" customWidth="1"/>
    <col min="1729" max="1729" width="14.44140625" style="38" customWidth="1"/>
    <col min="1730" max="1731" width="1" style="38" customWidth="1"/>
    <col min="1732" max="1786" width="0" style="38" hidden="1" customWidth="1"/>
    <col min="1787" max="1788" width="1" style="38" customWidth="1"/>
    <col min="1789" max="1789" width="17.88671875" style="38" customWidth="1"/>
    <col min="1790" max="1793" width="1" style="38" customWidth="1"/>
    <col min="1794" max="1794" width="17.88671875" style="38" customWidth="1"/>
    <col min="1795" max="1798" width="1" style="38" customWidth="1"/>
    <col min="1799" max="1799" width="17.88671875" style="38" customWidth="1"/>
    <col min="1800" max="1801" width="1" style="38" customWidth="1"/>
    <col min="1802" max="1856" width="0" style="38" hidden="1" customWidth="1"/>
    <col min="1857" max="1858" width="1" style="38" customWidth="1"/>
    <col min="1859" max="1859" width="17.88671875" style="38" customWidth="1"/>
    <col min="1860" max="1863" width="1" style="38" customWidth="1"/>
    <col min="1864" max="1864" width="14.44140625" style="38" customWidth="1"/>
    <col min="1865" max="1866" width="1" style="38" customWidth="1"/>
    <col min="1867" max="1867" width="2" style="38" customWidth="1"/>
    <col min="1868" max="1868" width="3.88671875" style="38" customWidth="1"/>
    <col min="1869" max="1869" width="15.6640625" style="38" customWidth="1"/>
    <col min="1870" max="1870" width="13.44140625" style="38" bestFit="1" customWidth="1"/>
    <col min="1871" max="1871" width="13.88671875" style="38" customWidth="1"/>
    <col min="1872" max="1872" width="13.44140625" style="38" bestFit="1" customWidth="1"/>
    <col min="1873" max="1978" width="10" style="38"/>
    <col min="1979" max="1980" width="0" style="38" hidden="1" customWidth="1"/>
    <col min="1981" max="1981" width="1" style="38" customWidth="1"/>
    <col min="1982" max="1982" width="56" style="38" customWidth="1"/>
    <col min="1983" max="1984" width="1" style="38" customWidth="1"/>
    <col min="1985" max="1985" width="14.44140625" style="38" customWidth="1"/>
    <col min="1986" max="1987" width="1" style="38" customWidth="1"/>
    <col min="1988" max="2042" width="0" style="38" hidden="1" customWidth="1"/>
    <col min="2043" max="2044" width="1" style="38" customWidth="1"/>
    <col min="2045" max="2045" width="17.88671875" style="38" customWidth="1"/>
    <col min="2046" max="2049" width="1" style="38" customWidth="1"/>
    <col min="2050" max="2050" width="17.88671875" style="38" customWidth="1"/>
    <col min="2051" max="2054" width="1" style="38" customWidth="1"/>
    <col min="2055" max="2055" width="17.88671875" style="38" customWidth="1"/>
    <col min="2056" max="2057" width="1" style="38" customWidth="1"/>
    <col min="2058" max="2112" width="0" style="38" hidden="1" customWidth="1"/>
    <col min="2113" max="2114" width="1" style="38" customWidth="1"/>
    <col min="2115" max="2115" width="17.88671875" style="38" customWidth="1"/>
    <col min="2116" max="2119" width="1" style="38" customWidth="1"/>
    <col min="2120" max="2120" width="14.44140625" style="38" customWidth="1"/>
    <col min="2121" max="2122" width="1" style="38" customWidth="1"/>
    <col min="2123" max="2123" width="2" style="38" customWidth="1"/>
    <col min="2124" max="2124" width="3.88671875" style="38" customWidth="1"/>
    <col min="2125" max="2125" width="15.6640625" style="38" customWidth="1"/>
    <col min="2126" max="2126" width="13.44140625" style="38" bestFit="1" customWidth="1"/>
    <col min="2127" max="2127" width="13.88671875" style="38" customWidth="1"/>
    <col min="2128" max="2128" width="13.44140625" style="38" bestFit="1" customWidth="1"/>
    <col min="2129" max="2234" width="10" style="38"/>
    <col min="2235" max="2236" width="0" style="38" hidden="1" customWidth="1"/>
    <col min="2237" max="2237" width="1" style="38" customWidth="1"/>
    <col min="2238" max="2238" width="56" style="38" customWidth="1"/>
    <col min="2239" max="2240" width="1" style="38" customWidth="1"/>
    <col min="2241" max="2241" width="14.44140625" style="38" customWidth="1"/>
    <col min="2242" max="2243" width="1" style="38" customWidth="1"/>
    <col min="2244" max="2298" width="0" style="38" hidden="1" customWidth="1"/>
    <col min="2299" max="2300" width="1" style="38" customWidth="1"/>
    <col min="2301" max="2301" width="17.88671875" style="38" customWidth="1"/>
    <col min="2302" max="2305" width="1" style="38" customWidth="1"/>
    <col min="2306" max="2306" width="17.88671875" style="38" customWidth="1"/>
    <col min="2307" max="2310" width="1" style="38" customWidth="1"/>
    <col min="2311" max="2311" width="17.88671875" style="38" customWidth="1"/>
    <col min="2312" max="2313" width="1" style="38" customWidth="1"/>
    <col min="2314" max="2368" width="0" style="38" hidden="1" customWidth="1"/>
    <col min="2369" max="2370" width="1" style="38" customWidth="1"/>
    <col min="2371" max="2371" width="17.88671875" style="38" customWidth="1"/>
    <col min="2372" max="2375" width="1" style="38" customWidth="1"/>
    <col min="2376" max="2376" width="14.44140625" style="38" customWidth="1"/>
    <col min="2377" max="2378" width="1" style="38" customWidth="1"/>
    <col min="2379" max="2379" width="2" style="38" customWidth="1"/>
    <col min="2380" max="2380" width="3.88671875" style="38" customWidth="1"/>
    <col min="2381" max="2381" width="15.6640625" style="38" customWidth="1"/>
    <col min="2382" max="2382" width="13.44140625" style="38" bestFit="1" customWidth="1"/>
    <col min="2383" max="2383" width="13.88671875" style="38" customWidth="1"/>
    <col min="2384" max="2384" width="13.44140625" style="38" bestFit="1" customWidth="1"/>
    <col min="2385" max="2490" width="10" style="38"/>
    <col min="2491" max="2492" width="0" style="38" hidden="1" customWidth="1"/>
    <col min="2493" max="2493" width="1" style="38" customWidth="1"/>
    <col min="2494" max="2494" width="56" style="38" customWidth="1"/>
    <col min="2495" max="2496" width="1" style="38" customWidth="1"/>
    <col min="2497" max="2497" width="14.44140625" style="38" customWidth="1"/>
    <col min="2498" max="2499" width="1" style="38" customWidth="1"/>
    <col min="2500" max="2554" width="0" style="38" hidden="1" customWidth="1"/>
    <col min="2555" max="2556" width="1" style="38" customWidth="1"/>
    <col min="2557" max="2557" width="17.88671875" style="38" customWidth="1"/>
    <col min="2558" max="2561" width="1" style="38" customWidth="1"/>
    <col min="2562" max="2562" width="17.88671875" style="38" customWidth="1"/>
    <col min="2563" max="2566" width="1" style="38" customWidth="1"/>
    <col min="2567" max="2567" width="17.88671875" style="38" customWidth="1"/>
    <col min="2568" max="2569" width="1" style="38" customWidth="1"/>
    <col min="2570" max="2624" width="0" style="38" hidden="1" customWidth="1"/>
    <col min="2625" max="2626" width="1" style="38" customWidth="1"/>
    <col min="2627" max="2627" width="17.88671875" style="38" customWidth="1"/>
    <col min="2628" max="2631" width="1" style="38" customWidth="1"/>
    <col min="2632" max="2632" width="14.44140625" style="38" customWidth="1"/>
    <col min="2633" max="2634" width="1" style="38" customWidth="1"/>
    <col min="2635" max="2635" width="2" style="38" customWidth="1"/>
    <col min="2636" max="2636" width="3.88671875" style="38" customWidth="1"/>
    <col min="2637" max="2637" width="15.6640625" style="38" customWidth="1"/>
    <col min="2638" max="2638" width="13.44140625" style="38" bestFit="1" customWidth="1"/>
    <col min="2639" max="2639" width="13.88671875" style="38" customWidth="1"/>
    <col min="2640" max="2640" width="13.44140625" style="38" bestFit="1" customWidth="1"/>
    <col min="2641" max="2746" width="10" style="38"/>
    <col min="2747" max="2748" width="0" style="38" hidden="1" customWidth="1"/>
    <col min="2749" max="2749" width="1" style="38" customWidth="1"/>
    <col min="2750" max="2750" width="56" style="38" customWidth="1"/>
    <col min="2751" max="2752" width="1" style="38" customWidth="1"/>
    <col min="2753" max="2753" width="14.44140625" style="38" customWidth="1"/>
    <col min="2754" max="2755" width="1" style="38" customWidth="1"/>
    <col min="2756" max="2810" width="0" style="38" hidden="1" customWidth="1"/>
    <col min="2811" max="2812" width="1" style="38" customWidth="1"/>
    <col min="2813" max="2813" width="17.88671875" style="38" customWidth="1"/>
    <col min="2814" max="2817" width="1" style="38" customWidth="1"/>
    <col min="2818" max="2818" width="17.88671875" style="38" customWidth="1"/>
    <col min="2819" max="2822" width="1" style="38" customWidth="1"/>
    <col min="2823" max="2823" width="17.88671875" style="38" customWidth="1"/>
    <col min="2824" max="2825" width="1" style="38" customWidth="1"/>
    <col min="2826" max="2880" width="0" style="38" hidden="1" customWidth="1"/>
    <col min="2881" max="2882" width="1" style="38" customWidth="1"/>
    <col min="2883" max="2883" width="17.88671875" style="38" customWidth="1"/>
    <col min="2884" max="2887" width="1" style="38" customWidth="1"/>
    <col min="2888" max="2888" width="14.44140625" style="38" customWidth="1"/>
    <col min="2889" max="2890" width="1" style="38" customWidth="1"/>
    <col min="2891" max="2891" width="2" style="38" customWidth="1"/>
    <col min="2892" max="2892" width="3.88671875" style="38" customWidth="1"/>
    <col min="2893" max="2893" width="15.6640625" style="38" customWidth="1"/>
    <col min="2894" max="2894" width="13.44140625" style="38" bestFit="1" customWidth="1"/>
    <col min="2895" max="2895" width="13.88671875" style="38" customWidth="1"/>
    <col min="2896" max="2896" width="13.44140625" style="38" bestFit="1" customWidth="1"/>
    <col min="2897" max="3002" width="10" style="38"/>
    <col min="3003" max="3004" width="0" style="38" hidden="1" customWidth="1"/>
    <col min="3005" max="3005" width="1" style="38" customWidth="1"/>
    <col min="3006" max="3006" width="56" style="38" customWidth="1"/>
    <col min="3007" max="3008" width="1" style="38" customWidth="1"/>
    <col min="3009" max="3009" width="14.44140625" style="38" customWidth="1"/>
    <col min="3010" max="3011" width="1" style="38" customWidth="1"/>
    <col min="3012" max="3066" width="0" style="38" hidden="1" customWidth="1"/>
    <col min="3067" max="3068" width="1" style="38" customWidth="1"/>
    <col min="3069" max="3069" width="17.88671875" style="38" customWidth="1"/>
    <col min="3070" max="3073" width="1" style="38" customWidth="1"/>
    <col min="3074" max="3074" width="17.88671875" style="38" customWidth="1"/>
    <col min="3075" max="3078" width="1" style="38" customWidth="1"/>
    <col min="3079" max="3079" width="17.88671875" style="38" customWidth="1"/>
    <col min="3080" max="3081" width="1" style="38" customWidth="1"/>
    <col min="3082" max="3136" width="0" style="38" hidden="1" customWidth="1"/>
    <col min="3137" max="3138" width="1" style="38" customWidth="1"/>
    <col min="3139" max="3139" width="17.88671875" style="38" customWidth="1"/>
    <col min="3140" max="3143" width="1" style="38" customWidth="1"/>
    <col min="3144" max="3144" width="14.44140625" style="38" customWidth="1"/>
    <col min="3145" max="3146" width="1" style="38" customWidth="1"/>
    <col min="3147" max="3147" width="2" style="38" customWidth="1"/>
    <col min="3148" max="3148" width="3.88671875" style="38" customWidth="1"/>
    <col min="3149" max="3149" width="15.6640625" style="38" customWidth="1"/>
    <col min="3150" max="3150" width="13.44140625" style="38" bestFit="1" customWidth="1"/>
    <col min="3151" max="3151" width="13.88671875" style="38" customWidth="1"/>
    <col min="3152" max="3152" width="13.44140625" style="38" bestFit="1" customWidth="1"/>
    <col min="3153" max="3258" width="10" style="38"/>
    <col min="3259" max="3260" width="0" style="38" hidden="1" customWidth="1"/>
    <col min="3261" max="3261" width="1" style="38" customWidth="1"/>
    <col min="3262" max="3262" width="56" style="38" customWidth="1"/>
    <col min="3263" max="3264" width="1" style="38" customWidth="1"/>
    <col min="3265" max="3265" width="14.44140625" style="38" customWidth="1"/>
    <col min="3266" max="3267" width="1" style="38" customWidth="1"/>
    <col min="3268" max="3322" width="0" style="38" hidden="1" customWidth="1"/>
    <col min="3323" max="3324" width="1" style="38" customWidth="1"/>
    <col min="3325" max="3325" width="17.88671875" style="38" customWidth="1"/>
    <col min="3326" max="3329" width="1" style="38" customWidth="1"/>
    <col min="3330" max="3330" width="17.88671875" style="38" customWidth="1"/>
    <col min="3331" max="3334" width="1" style="38" customWidth="1"/>
    <col min="3335" max="3335" width="17.88671875" style="38" customWidth="1"/>
    <col min="3336" max="3337" width="1" style="38" customWidth="1"/>
    <col min="3338" max="3392" width="0" style="38" hidden="1" customWidth="1"/>
    <col min="3393" max="3394" width="1" style="38" customWidth="1"/>
    <col min="3395" max="3395" width="17.88671875" style="38" customWidth="1"/>
    <col min="3396" max="3399" width="1" style="38" customWidth="1"/>
    <col min="3400" max="3400" width="14.44140625" style="38" customWidth="1"/>
    <col min="3401" max="3402" width="1" style="38" customWidth="1"/>
    <col min="3403" max="3403" width="2" style="38" customWidth="1"/>
    <col min="3404" max="3404" width="3.88671875" style="38" customWidth="1"/>
    <col min="3405" max="3405" width="15.6640625" style="38" customWidth="1"/>
    <col min="3406" max="3406" width="13.44140625" style="38" bestFit="1" customWidth="1"/>
    <col min="3407" max="3407" width="13.88671875" style="38" customWidth="1"/>
    <col min="3408" max="3408" width="13.44140625" style="38" bestFit="1" customWidth="1"/>
    <col min="3409" max="3514" width="10" style="38"/>
    <col min="3515" max="3516" width="0" style="38" hidden="1" customWidth="1"/>
    <col min="3517" max="3517" width="1" style="38" customWidth="1"/>
    <col min="3518" max="3518" width="56" style="38" customWidth="1"/>
    <col min="3519" max="3520" width="1" style="38" customWidth="1"/>
    <col min="3521" max="3521" width="14.44140625" style="38" customWidth="1"/>
    <col min="3522" max="3523" width="1" style="38" customWidth="1"/>
    <col min="3524" max="3578" width="0" style="38" hidden="1" customWidth="1"/>
    <col min="3579" max="3580" width="1" style="38" customWidth="1"/>
    <col min="3581" max="3581" width="17.88671875" style="38" customWidth="1"/>
    <col min="3582" max="3585" width="1" style="38" customWidth="1"/>
    <col min="3586" max="3586" width="17.88671875" style="38" customWidth="1"/>
    <col min="3587" max="3590" width="1" style="38" customWidth="1"/>
    <col min="3591" max="3591" width="17.88671875" style="38" customWidth="1"/>
    <col min="3592" max="3593" width="1" style="38" customWidth="1"/>
    <col min="3594" max="3648" width="0" style="38" hidden="1" customWidth="1"/>
    <col min="3649" max="3650" width="1" style="38" customWidth="1"/>
    <col min="3651" max="3651" width="17.88671875" style="38" customWidth="1"/>
    <col min="3652" max="3655" width="1" style="38" customWidth="1"/>
    <col min="3656" max="3656" width="14.44140625" style="38" customWidth="1"/>
    <col min="3657" max="3658" width="1" style="38" customWidth="1"/>
    <col min="3659" max="3659" width="2" style="38" customWidth="1"/>
    <col min="3660" max="3660" width="3.88671875" style="38" customWidth="1"/>
    <col min="3661" max="3661" width="15.6640625" style="38" customWidth="1"/>
    <col min="3662" max="3662" width="13.44140625" style="38" bestFit="1" customWidth="1"/>
    <col min="3663" max="3663" width="13.88671875" style="38" customWidth="1"/>
    <col min="3664" max="3664" width="13.44140625" style="38" bestFit="1" customWidth="1"/>
    <col min="3665" max="3770" width="10" style="38"/>
    <col min="3771" max="3772" width="0" style="38" hidden="1" customWidth="1"/>
    <col min="3773" max="3773" width="1" style="38" customWidth="1"/>
    <col min="3774" max="3774" width="56" style="38" customWidth="1"/>
    <col min="3775" max="3776" width="1" style="38" customWidth="1"/>
    <col min="3777" max="3777" width="14.44140625" style="38" customWidth="1"/>
    <col min="3778" max="3779" width="1" style="38" customWidth="1"/>
    <col min="3780" max="3834" width="0" style="38" hidden="1" customWidth="1"/>
    <col min="3835" max="3836" width="1" style="38" customWidth="1"/>
    <col min="3837" max="3837" width="17.88671875" style="38" customWidth="1"/>
    <col min="3838" max="3841" width="1" style="38" customWidth="1"/>
    <col min="3842" max="3842" width="17.88671875" style="38" customWidth="1"/>
    <col min="3843" max="3846" width="1" style="38" customWidth="1"/>
    <col min="3847" max="3847" width="17.88671875" style="38" customWidth="1"/>
    <col min="3848" max="3849" width="1" style="38" customWidth="1"/>
    <col min="3850" max="3904" width="0" style="38" hidden="1" customWidth="1"/>
    <col min="3905" max="3906" width="1" style="38" customWidth="1"/>
    <col min="3907" max="3907" width="17.88671875" style="38" customWidth="1"/>
    <col min="3908" max="3911" width="1" style="38" customWidth="1"/>
    <col min="3912" max="3912" width="14.44140625" style="38" customWidth="1"/>
    <col min="3913" max="3914" width="1" style="38" customWidth="1"/>
    <col min="3915" max="3915" width="2" style="38" customWidth="1"/>
    <col min="3916" max="3916" width="3.88671875" style="38" customWidth="1"/>
    <col min="3917" max="3917" width="15.6640625" style="38" customWidth="1"/>
    <col min="3918" max="3918" width="13.44140625" style="38" bestFit="1" customWidth="1"/>
    <col min="3919" max="3919" width="13.88671875" style="38" customWidth="1"/>
    <col min="3920" max="3920" width="13.44140625" style="38" bestFit="1" customWidth="1"/>
    <col min="3921" max="4026" width="10" style="38"/>
    <col min="4027" max="4028" width="0" style="38" hidden="1" customWidth="1"/>
    <col min="4029" max="4029" width="1" style="38" customWidth="1"/>
    <col min="4030" max="4030" width="56" style="38" customWidth="1"/>
    <col min="4031" max="4032" width="1" style="38" customWidth="1"/>
    <col min="4033" max="4033" width="14.44140625" style="38" customWidth="1"/>
    <col min="4034" max="4035" width="1" style="38" customWidth="1"/>
    <col min="4036" max="4090" width="0" style="38" hidden="1" customWidth="1"/>
    <col min="4091" max="4092" width="1" style="38" customWidth="1"/>
    <col min="4093" max="4093" width="17.88671875" style="38" customWidth="1"/>
    <col min="4094" max="4097" width="1" style="38" customWidth="1"/>
    <col min="4098" max="4098" width="17.88671875" style="38" customWidth="1"/>
    <col min="4099" max="4102" width="1" style="38" customWidth="1"/>
    <col min="4103" max="4103" width="17.88671875" style="38" customWidth="1"/>
    <col min="4104" max="4105" width="1" style="38" customWidth="1"/>
    <col min="4106" max="4160" width="0" style="38" hidden="1" customWidth="1"/>
    <col min="4161" max="4162" width="1" style="38" customWidth="1"/>
    <col min="4163" max="4163" width="17.88671875" style="38" customWidth="1"/>
    <col min="4164" max="4167" width="1" style="38" customWidth="1"/>
    <col min="4168" max="4168" width="14.44140625" style="38" customWidth="1"/>
    <col min="4169" max="4170" width="1" style="38" customWidth="1"/>
    <col min="4171" max="4171" width="2" style="38" customWidth="1"/>
    <col min="4172" max="4172" width="3.88671875" style="38" customWidth="1"/>
    <col min="4173" max="4173" width="15.6640625" style="38" customWidth="1"/>
    <col min="4174" max="4174" width="13.44140625" style="38" bestFit="1" customWidth="1"/>
    <col min="4175" max="4175" width="13.88671875" style="38" customWidth="1"/>
    <col min="4176" max="4176" width="13.44140625" style="38" bestFit="1" customWidth="1"/>
    <col min="4177" max="4282" width="10" style="38"/>
    <col min="4283" max="4284" width="0" style="38" hidden="1" customWidth="1"/>
    <col min="4285" max="4285" width="1" style="38" customWidth="1"/>
    <col min="4286" max="4286" width="56" style="38" customWidth="1"/>
    <col min="4287" max="4288" width="1" style="38" customWidth="1"/>
    <col min="4289" max="4289" width="14.44140625" style="38" customWidth="1"/>
    <col min="4290" max="4291" width="1" style="38" customWidth="1"/>
    <col min="4292" max="4346" width="0" style="38" hidden="1" customWidth="1"/>
    <col min="4347" max="4348" width="1" style="38" customWidth="1"/>
    <col min="4349" max="4349" width="17.88671875" style="38" customWidth="1"/>
    <col min="4350" max="4353" width="1" style="38" customWidth="1"/>
    <col min="4354" max="4354" width="17.88671875" style="38" customWidth="1"/>
    <col min="4355" max="4358" width="1" style="38" customWidth="1"/>
    <col min="4359" max="4359" width="17.88671875" style="38" customWidth="1"/>
    <col min="4360" max="4361" width="1" style="38" customWidth="1"/>
    <col min="4362" max="4416" width="0" style="38" hidden="1" customWidth="1"/>
    <col min="4417" max="4418" width="1" style="38" customWidth="1"/>
    <col min="4419" max="4419" width="17.88671875" style="38" customWidth="1"/>
    <col min="4420" max="4423" width="1" style="38" customWidth="1"/>
    <col min="4424" max="4424" width="14.44140625" style="38" customWidth="1"/>
    <col min="4425" max="4426" width="1" style="38" customWidth="1"/>
    <col min="4427" max="4427" width="2" style="38" customWidth="1"/>
    <col min="4428" max="4428" width="3.88671875" style="38" customWidth="1"/>
    <col min="4429" max="4429" width="15.6640625" style="38" customWidth="1"/>
    <col min="4430" max="4430" width="13.44140625" style="38" bestFit="1" customWidth="1"/>
    <col min="4431" max="4431" width="13.88671875" style="38" customWidth="1"/>
    <col min="4432" max="4432" width="13.44140625" style="38" bestFit="1" customWidth="1"/>
    <col min="4433" max="4538" width="10" style="38"/>
    <col min="4539" max="4540" width="0" style="38" hidden="1" customWidth="1"/>
    <col min="4541" max="4541" width="1" style="38" customWidth="1"/>
    <col min="4542" max="4542" width="56" style="38" customWidth="1"/>
    <col min="4543" max="4544" width="1" style="38" customWidth="1"/>
    <col min="4545" max="4545" width="14.44140625" style="38" customWidth="1"/>
    <col min="4546" max="4547" width="1" style="38" customWidth="1"/>
    <col min="4548" max="4602" width="0" style="38" hidden="1" customWidth="1"/>
    <col min="4603" max="4604" width="1" style="38" customWidth="1"/>
    <col min="4605" max="4605" width="17.88671875" style="38" customWidth="1"/>
    <col min="4606" max="4609" width="1" style="38" customWidth="1"/>
    <col min="4610" max="4610" width="17.88671875" style="38" customWidth="1"/>
    <col min="4611" max="4614" width="1" style="38" customWidth="1"/>
    <col min="4615" max="4615" width="17.88671875" style="38" customWidth="1"/>
    <col min="4616" max="4617" width="1" style="38" customWidth="1"/>
    <col min="4618" max="4672" width="0" style="38" hidden="1" customWidth="1"/>
    <col min="4673" max="4674" width="1" style="38" customWidth="1"/>
    <col min="4675" max="4675" width="17.88671875" style="38" customWidth="1"/>
    <col min="4676" max="4679" width="1" style="38" customWidth="1"/>
    <col min="4680" max="4680" width="14.44140625" style="38" customWidth="1"/>
    <col min="4681" max="4682" width="1" style="38" customWidth="1"/>
    <col min="4683" max="4683" width="2" style="38" customWidth="1"/>
    <col min="4684" max="4684" width="3.88671875" style="38" customWidth="1"/>
    <col min="4685" max="4685" width="15.6640625" style="38" customWidth="1"/>
    <col min="4686" max="4686" width="13.44140625" style="38" bestFit="1" customWidth="1"/>
    <col min="4687" max="4687" width="13.88671875" style="38" customWidth="1"/>
    <col min="4688" max="4688" width="13.44140625" style="38" bestFit="1" customWidth="1"/>
    <col min="4689" max="4794" width="10" style="38"/>
    <col min="4795" max="4796" width="0" style="38" hidden="1" customWidth="1"/>
    <col min="4797" max="4797" width="1" style="38" customWidth="1"/>
    <col min="4798" max="4798" width="56" style="38" customWidth="1"/>
    <col min="4799" max="4800" width="1" style="38" customWidth="1"/>
    <col min="4801" max="4801" width="14.44140625" style="38" customWidth="1"/>
    <col min="4802" max="4803" width="1" style="38" customWidth="1"/>
    <col min="4804" max="4858" width="0" style="38" hidden="1" customWidth="1"/>
    <col min="4859" max="4860" width="1" style="38" customWidth="1"/>
    <col min="4861" max="4861" width="17.88671875" style="38" customWidth="1"/>
    <col min="4862" max="4865" width="1" style="38" customWidth="1"/>
    <col min="4866" max="4866" width="17.88671875" style="38" customWidth="1"/>
    <col min="4867" max="4870" width="1" style="38" customWidth="1"/>
    <col min="4871" max="4871" width="17.88671875" style="38" customWidth="1"/>
    <col min="4872" max="4873" width="1" style="38" customWidth="1"/>
    <col min="4874" max="4928" width="0" style="38" hidden="1" customWidth="1"/>
    <col min="4929" max="4930" width="1" style="38" customWidth="1"/>
    <col min="4931" max="4931" width="17.88671875" style="38" customWidth="1"/>
    <col min="4932" max="4935" width="1" style="38" customWidth="1"/>
    <col min="4936" max="4936" width="14.44140625" style="38" customWidth="1"/>
    <col min="4937" max="4938" width="1" style="38" customWidth="1"/>
    <col min="4939" max="4939" width="2" style="38" customWidth="1"/>
    <col min="4940" max="4940" width="3.88671875" style="38" customWidth="1"/>
    <col min="4941" max="4941" width="15.6640625" style="38" customWidth="1"/>
    <col min="4942" max="4942" width="13.44140625" style="38" bestFit="1" customWidth="1"/>
    <col min="4943" max="4943" width="13.88671875" style="38" customWidth="1"/>
    <col min="4944" max="4944" width="13.44140625" style="38" bestFit="1" customWidth="1"/>
    <col min="4945" max="5050" width="10" style="38"/>
    <col min="5051" max="5052" width="0" style="38" hidden="1" customWidth="1"/>
    <col min="5053" max="5053" width="1" style="38" customWidth="1"/>
    <col min="5054" max="5054" width="56" style="38" customWidth="1"/>
    <col min="5055" max="5056" width="1" style="38" customWidth="1"/>
    <col min="5057" max="5057" width="14.44140625" style="38" customWidth="1"/>
    <col min="5058" max="5059" width="1" style="38" customWidth="1"/>
    <col min="5060" max="5114" width="0" style="38" hidden="1" customWidth="1"/>
    <col min="5115" max="5116" width="1" style="38" customWidth="1"/>
    <col min="5117" max="5117" width="17.88671875" style="38" customWidth="1"/>
    <col min="5118" max="5121" width="1" style="38" customWidth="1"/>
    <col min="5122" max="5122" width="17.88671875" style="38" customWidth="1"/>
    <col min="5123" max="5126" width="1" style="38" customWidth="1"/>
    <col min="5127" max="5127" width="17.88671875" style="38" customWidth="1"/>
    <col min="5128" max="5129" width="1" style="38" customWidth="1"/>
    <col min="5130" max="5184" width="0" style="38" hidden="1" customWidth="1"/>
    <col min="5185" max="5186" width="1" style="38" customWidth="1"/>
    <col min="5187" max="5187" width="17.88671875" style="38" customWidth="1"/>
    <col min="5188" max="5191" width="1" style="38" customWidth="1"/>
    <col min="5192" max="5192" width="14.44140625" style="38" customWidth="1"/>
    <col min="5193" max="5194" width="1" style="38" customWidth="1"/>
    <col min="5195" max="5195" width="2" style="38" customWidth="1"/>
    <col min="5196" max="5196" width="3.88671875" style="38" customWidth="1"/>
    <col min="5197" max="5197" width="15.6640625" style="38" customWidth="1"/>
    <col min="5198" max="5198" width="13.44140625" style="38" bestFit="1" customWidth="1"/>
    <col min="5199" max="5199" width="13.88671875" style="38" customWidth="1"/>
    <col min="5200" max="5200" width="13.44140625" style="38" bestFit="1" customWidth="1"/>
    <col min="5201" max="5306" width="10" style="38"/>
    <col min="5307" max="5308" width="0" style="38" hidden="1" customWidth="1"/>
    <col min="5309" max="5309" width="1" style="38" customWidth="1"/>
    <col min="5310" max="5310" width="56" style="38" customWidth="1"/>
    <col min="5311" max="5312" width="1" style="38" customWidth="1"/>
    <col min="5313" max="5313" width="14.44140625" style="38" customWidth="1"/>
    <col min="5314" max="5315" width="1" style="38" customWidth="1"/>
    <col min="5316" max="5370" width="0" style="38" hidden="1" customWidth="1"/>
    <col min="5371" max="5372" width="1" style="38" customWidth="1"/>
    <col min="5373" max="5373" width="17.88671875" style="38" customWidth="1"/>
    <col min="5374" max="5377" width="1" style="38" customWidth="1"/>
    <col min="5378" max="5378" width="17.88671875" style="38" customWidth="1"/>
    <col min="5379" max="5382" width="1" style="38" customWidth="1"/>
    <col min="5383" max="5383" width="17.88671875" style="38" customWidth="1"/>
    <col min="5384" max="5385" width="1" style="38" customWidth="1"/>
    <col min="5386" max="5440" width="0" style="38" hidden="1" customWidth="1"/>
    <col min="5441" max="5442" width="1" style="38" customWidth="1"/>
    <col min="5443" max="5443" width="17.88671875" style="38" customWidth="1"/>
    <col min="5444" max="5447" width="1" style="38" customWidth="1"/>
    <col min="5448" max="5448" width="14.44140625" style="38" customWidth="1"/>
    <col min="5449" max="5450" width="1" style="38" customWidth="1"/>
    <col min="5451" max="5451" width="2" style="38" customWidth="1"/>
    <col min="5452" max="5452" width="3.88671875" style="38" customWidth="1"/>
    <col min="5453" max="5453" width="15.6640625" style="38" customWidth="1"/>
    <col min="5454" max="5454" width="13.44140625" style="38" bestFit="1" customWidth="1"/>
    <col min="5455" max="5455" width="13.88671875" style="38" customWidth="1"/>
    <col min="5456" max="5456" width="13.44140625" style="38" bestFit="1" customWidth="1"/>
    <col min="5457" max="5562" width="10" style="38"/>
    <col min="5563" max="5564" width="0" style="38" hidden="1" customWidth="1"/>
    <col min="5565" max="5565" width="1" style="38" customWidth="1"/>
    <col min="5566" max="5566" width="56" style="38" customWidth="1"/>
    <col min="5567" max="5568" width="1" style="38" customWidth="1"/>
    <col min="5569" max="5569" width="14.44140625" style="38" customWidth="1"/>
    <col min="5570" max="5571" width="1" style="38" customWidth="1"/>
    <col min="5572" max="5626" width="0" style="38" hidden="1" customWidth="1"/>
    <col min="5627" max="5628" width="1" style="38" customWidth="1"/>
    <col min="5629" max="5629" width="17.88671875" style="38" customWidth="1"/>
    <col min="5630" max="5633" width="1" style="38" customWidth="1"/>
    <col min="5634" max="5634" width="17.88671875" style="38" customWidth="1"/>
    <col min="5635" max="5638" width="1" style="38" customWidth="1"/>
    <col min="5639" max="5639" width="17.88671875" style="38" customWidth="1"/>
    <col min="5640" max="5641" width="1" style="38" customWidth="1"/>
    <col min="5642" max="5696" width="0" style="38" hidden="1" customWidth="1"/>
    <col min="5697" max="5698" width="1" style="38" customWidth="1"/>
    <col min="5699" max="5699" width="17.88671875" style="38" customWidth="1"/>
    <col min="5700" max="5703" width="1" style="38" customWidth="1"/>
    <col min="5704" max="5704" width="14.44140625" style="38" customWidth="1"/>
    <col min="5705" max="5706" width="1" style="38" customWidth="1"/>
    <col min="5707" max="5707" width="2" style="38" customWidth="1"/>
    <col min="5708" max="5708" width="3.88671875" style="38" customWidth="1"/>
    <col min="5709" max="5709" width="15.6640625" style="38" customWidth="1"/>
    <col min="5710" max="5710" width="13.44140625" style="38" bestFit="1" customWidth="1"/>
    <col min="5711" max="5711" width="13.88671875" style="38" customWidth="1"/>
    <col min="5712" max="5712" width="13.44140625" style="38" bestFit="1" customWidth="1"/>
    <col min="5713" max="5818" width="10" style="38"/>
    <col min="5819" max="5820" width="0" style="38" hidden="1" customWidth="1"/>
    <col min="5821" max="5821" width="1" style="38" customWidth="1"/>
    <col min="5822" max="5822" width="56" style="38" customWidth="1"/>
    <col min="5823" max="5824" width="1" style="38" customWidth="1"/>
    <col min="5825" max="5825" width="14.44140625" style="38" customWidth="1"/>
    <col min="5826" max="5827" width="1" style="38" customWidth="1"/>
    <col min="5828" max="5882" width="0" style="38" hidden="1" customWidth="1"/>
    <col min="5883" max="5884" width="1" style="38" customWidth="1"/>
    <col min="5885" max="5885" width="17.88671875" style="38" customWidth="1"/>
    <col min="5886" max="5889" width="1" style="38" customWidth="1"/>
    <col min="5890" max="5890" width="17.88671875" style="38" customWidth="1"/>
    <col min="5891" max="5894" width="1" style="38" customWidth="1"/>
    <col min="5895" max="5895" width="17.88671875" style="38" customWidth="1"/>
    <col min="5896" max="5897" width="1" style="38" customWidth="1"/>
    <col min="5898" max="5952" width="0" style="38" hidden="1" customWidth="1"/>
    <col min="5953" max="5954" width="1" style="38" customWidth="1"/>
    <col min="5955" max="5955" width="17.88671875" style="38" customWidth="1"/>
    <col min="5956" max="5959" width="1" style="38" customWidth="1"/>
    <col min="5960" max="5960" width="14.44140625" style="38" customWidth="1"/>
    <col min="5961" max="5962" width="1" style="38" customWidth="1"/>
    <col min="5963" max="5963" width="2" style="38" customWidth="1"/>
    <col min="5964" max="5964" width="3.88671875" style="38" customWidth="1"/>
    <col min="5965" max="5965" width="15.6640625" style="38" customWidth="1"/>
    <col min="5966" max="5966" width="13.44140625" style="38" bestFit="1" customWidth="1"/>
    <col min="5967" max="5967" width="13.88671875" style="38" customWidth="1"/>
    <col min="5968" max="5968" width="13.44140625" style="38" bestFit="1" customWidth="1"/>
    <col min="5969" max="6074" width="10" style="38"/>
    <col min="6075" max="6076" width="0" style="38" hidden="1" customWidth="1"/>
    <col min="6077" max="6077" width="1" style="38" customWidth="1"/>
    <col min="6078" max="6078" width="56" style="38" customWidth="1"/>
    <col min="6079" max="6080" width="1" style="38" customWidth="1"/>
    <col min="6081" max="6081" width="14.44140625" style="38" customWidth="1"/>
    <col min="6082" max="6083" width="1" style="38" customWidth="1"/>
    <col min="6084" max="6138" width="0" style="38" hidden="1" customWidth="1"/>
    <col min="6139" max="6140" width="1" style="38" customWidth="1"/>
    <col min="6141" max="6141" width="17.88671875" style="38" customWidth="1"/>
    <col min="6142" max="6145" width="1" style="38" customWidth="1"/>
    <col min="6146" max="6146" width="17.88671875" style="38" customWidth="1"/>
    <col min="6147" max="6150" width="1" style="38" customWidth="1"/>
    <col min="6151" max="6151" width="17.88671875" style="38" customWidth="1"/>
    <col min="6152" max="6153" width="1" style="38" customWidth="1"/>
    <col min="6154" max="6208" width="0" style="38" hidden="1" customWidth="1"/>
    <col min="6209" max="6210" width="1" style="38" customWidth="1"/>
    <col min="6211" max="6211" width="17.88671875" style="38" customWidth="1"/>
    <col min="6212" max="6215" width="1" style="38" customWidth="1"/>
    <col min="6216" max="6216" width="14.44140625" style="38" customWidth="1"/>
    <col min="6217" max="6218" width="1" style="38" customWidth="1"/>
    <col min="6219" max="6219" width="2" style="38" customWidth="1"/>
    <col min="6220" max="6220" width="3.88671875" style="38" customWidth="1"/>
    <col min="6221" max="6221" width="15.6640625" style="38" customWidth="1"/>
    <col min="6222" max="6222" width="13.44140625" style="38" bestFit="1" customWidth="1"/>
    <col min="6223" max="6223" width="13.88671875" style="38" customWidth="1"/>
    <col min="6224" max="6224" width="13.44140625" style="38" bestFit="1" customWidth="1"/>
    <col min="6225" max="6330" width="10" style="38"/>
    <col min="6331" max="6332" width="0" style="38" hidden="1" customWidth="1"/>
    <col min="6333" max="6333" width="1" style="38" customWidth="1"/>
    <col min="6334" max="6334" width="56" style="38" customWidth="1"/>
    <col min="6335" max="6336" width="1" style="38" customWidth="1"/>
    <col min="6337" max="6337" width="14.44140625" style="38" customWidth="1"/>
    <col min="6338" max="6339" width="1" style="38" customWidth="1"/>
    <col min="6340" max="6394" width="0" style="38" hidden="1" customWidth="1"/>
    <col min="6395" max="6396" width="1" style="38" customWidth="1"/>
    <col min="6397" max="6397" width="17.88671875" style="38" customWidth="1"/>
    <col min="6398" max="6401" width="1" style="38" customWidth="1"/>
    <col min="6402" max="6402" width="17.88671875" style="38" customWidth="1"/>
    <col min="6403" max="6406" width="1" style="38" customWidth="1"/>
    <col min="6407" max="6407" width="17.88671875" style="38" customWidth="1"/>
    <col min="6408" max="6409" width="1" style="38" customWidth="1"/>
    <col min="6410" max="6464" width="0" style="38" hidden="1" customWidth="1"/>
    <col min="6465" max="6466" width="1" style="38" customWidth="1"/>
    <col min="6467" max="6467" width="17.88671875" style="38" customWidth="1"/>
    <col min="6468" max="6471" width="1" style="38" customWidth="1"/>
    <col min="6472" max="6472" width="14.44140625" style="38" customWidth="1"/>
    <col min="6473" max="6474" width="1" style="38" customWidth="1"/>
    <col min="6475" max="6475" width="2" style="38" customWidth="1"/>
    <col min="6476" max="6476" width="3.88671875" style="38" customWidth="1"/>
    <col min="6477" max="6477" width="15.6640625" style="38" customWidth="1"/>
    <col min="6478" max="6478" width="13.44140625" style="38" bestFit="1" customWidth="1"/>
    <col min="6479" max="6479" width="13.88671875" style="38" customWidth="1"/>
    <col min="6480" max="6480" width="13.44140625" style="38" bestFit="1" customWidth="1"/>
    <col min="6481" max="6586" width="10" style="38"/>
    <col min="6587" max="6588" width="0" style="38" hidden="1" customWidth="1"/>
    <col min="6589" max="6589" width="1" style="38" customWidth="1"/>
    <col min="6590" max="6590" width="56" style="38" customWidth="1"/>
    <col min="6591" max="6592" width="1" style="38" customWidth="1"/>
    <col min="6593" max="6593" width="14.44140625" style="38" customWidth="1"/>
    <col min="6594" max="6595" width="1" style="38" customWidth="1"/>
    <col min="6596" max="6650" width="0" style="38" hidden="1" customWidth="1"/>
    <col min="6651" max="6652" width="1" style="38" customWidth="1"/>
    <col min="6653" max="6653" width="17.88671875" style="38" customWidth="1"/>
    <col min="6654" max="6657" width="1" style="38" customWidth="1"/>
    <col min="6658" max="6658" width="17.88671875" style="38" customWidth="1"/>
    <col min="6659" max="6662" width="1" style="38" customWidth="1"/>
    <col min="6663" max="6663" width="17.88671875" style="38" customWidth="1"/>
    <col min="6664" max="6665" width="1" style="38" customWidth="1"/>
    <col min="6666" max="6720" width="0" style="38" hidden="1" customWidth="1"/>
    <col min="6721" max="6722" width="1" style="38" customWidth="1"/>
    <col min="6723" max="6723" width="17.88671875" style="38" customWidth="1"/>
    <col min="6724" max="6727" width="1" style="38" customWidth="1"/>
    <col min="6728" max="6728" width="14.44140625" style="38" customWidth="1"/>
    <col min="6729" max="6730" width="1" style="38" customWidth="1"/>
    <col min="6731" max="6731" width="2" style="38" customWidth="1"/>
    <col min="6732" max="6732" width="3.88671875" style="38" customWidth="1"/>
    <col min="6733" max="6733" width="15.6640625" style="38" customWidth="1"/>
    <col min="6734" max="6734" width="13.44140625" style="38" bestFit="1" customWidth="1"/>
    <col min="6735" max="6735" width="13.88671875" style="38" customWidth="1"/>
    <col min="6736" max="6736" width="13.44140625" style="38" bestFit="1" customWidth="1"/>
    <col min="6737" max="6842" width="10" style="38"/>
    <col min="6843" max="6844" width="0" style="38" hidden="1" customWidth="1"/>
    <col min="6845" max="6845" width="1" style="38" customWidth="1"/>
    <col min="6846" max="6846" width="56" style="38" customWidth="1"/>
    <col min="6847" max="6848" width="1" style="38" customWidth="1"/>
    <col min="6849" max="6849" width="14.44140625" style="38" customWidth="1"/>
    <col min="6850" max="6851" width="1" style="38" customWidth="1"/>
    <col min="6852" max="6906" width="0" style="38" hidden="1" customWidth="1"/>
    <col min="6907" max="6908" width="1" style="38" customWidth="1"/>
    <col min="6909" max="6909" width="17.88671875" style="38" customWidth="1"/>
    <col min="6910" max="6913" width="1" style="38" customWidth="1"/>
    <col min="6914" max="6914" width="17.88671875" style="38" customWidth="1"/>
    <col min="6915" max="6918" width="1" style="38" customWidth="1"/>
    <col min="6919" max="6919" width="17.88671875" style="38" customWidth="1"/>
    <col min="6920" max="6921" width="1" style="38" customWidth="1"/>
    <col min="6922" max="6976" width="0" style="38" hidden="1" customWidth="1"/>
    <col min="6977" max="6978" width="1" style="38" customWidth="1"/>
    <col min="6979" max="6979" width="17.88671875" style="38" customWidth="1"/>
    <col min="6980" max="6983" width="1" style="38" customWidth="1"/>
    <col min="6984" max="6984" width="14.44140625" style="38" customWidth="1"/>
    <col min="6985" max="6986" width="1" style="38" customWidth="1"/>
    <col min="6987" max="6987" width="2" style="38" customWidth="1"/>
    <col min="6988" max="6988" width="3.88671875" style="38" customWidth="1"/>
    <col min="6989" max="6989" width="15.6640625" style="38" customWidth="1"/>
    <col min="6990" max="6990" width="13.44140625" style="38" bestFit="1" customWidth="1"/>
    <col min="6991" max="6991" width="13.88671875" style="38" customWidth="1"/>
    <col min="6992" max="6992" width="13.44140625" style="38" bestFit="1" customWidth="1"/>
    <col min="6993" max="7098" width="10" style="38"/>
    <col min="7099" max="7100" width="0" style="38" hidden="1" customWidth="1"/>
    <col min="7101" max="7101" width="1" style="38" customWidth="1"/>
    <col min="7102" max="7102" width="56" style="38" customWidth="1"/>
    <col min="7103" max="7104" width="1" style="38" customWidth="1"/>
    <col min="7105" max="7105" width="14.44140625" style="38" customWidth="1"/>
    <col min="7106" max="7107" width="1" style="38" customWidth="1"/>
    <col min="7108" max="7162" width="0" style="38" hidden="1" customWidth="1"/>
    <col min="7163" max="7164" width="1" style="38" customWidth="1"/>
    <col min="7165" max="7165" width="17.88671875" style="38" customWidth="1"/>
    <col min="7166" max="7169" width="1" style="38" customWidth="1"/>
    <col min="7170" max="7170" width="17.88671875" style="38" customWidth="1"/>
    <col min="7171" max="7174" width="1" style="38" customWidth="1"/>
    <col min="7175" max="7175" width="17.88671875" style="38" customWidth="1"/>
    <col min="7176" max="7177" width="1" style="38" customWidth="1"/>
    <col min="7178" max="7232" width="0" style="38" hidden="1" customWidth="1"/>
    <col min="7233" max="7234" width="1" style="38" customWidth="1"/>
    <col min="7235" max="7235" width="17.88671875" style="38" customWidth="1"/>
    <col min="7236" max="7239" width="1" style="38" customWidth="1"/>
    <col min="7240" max="7240" width="14.44140625" style="38" customWidth="1"/>
    <col min="7241" max="7242" width="1" style="38" customWidth="1"/>
    <col min="7243" max="7243" width="2" style="38" customWidth="1"/>
    <col min="7244" max="7244" width="3.88671875" style="38" customWidth="1"/>
    <col min="7245" max="7245" width="15.6640625" style="38" customWidth="1"/>
    <col min="7246" max="7246" width="13.44140625" style="38" bestFit="1" customWidth="1"/>
    <col min="7247" max="7247" width="13.88671875" style="38" customWidth="1"/>
    <col min="7248" max="7248" width="13.44140625" style="38" bestFit="1" customWidth="1"/>
    <col min="7249" max="7354" width="10" style="38"/>
    <col min="7355" max="7356" width="0" style="38" hidden="1" customWidth="1"/>
    <col min="7357" max="7357" width="1" style="38" customWidth="1"/>
    <col min="7358" max="7358" width="56" style="38" customWidth="1"/>
    <col min="7359" max="7360" width="1" style="38" customWidth="1"/>
    <col min="7361" max="7361" width="14.44140625" style="38" customWidth="1"/>
    <col min="7362" max="7363" width="1" style="38" customWidth="1"/>
    <col min="7364" max="7418" width="0" style="38" hidden="1" customWidth="1"/>
    <col min="7419" max="7420" width="1" style="38" customWidth="1"/>
    <col min="7421" max="7421" width="17.88671875" style="38" customWidth="1"/>
    <col min="7422" max="7425" width="1" style="38" customWidth="1"/>
    <col min="7426" max="7426" width="17.88671875" style="38" customWidth="1"/>
    <col min="7427" max="7430" width="1" style="38" customWidth="1"/>
    <col min="7431" max="7431" width="17.88671875" style="38" customWidth="1"/>
    <col min="7432" max="7433" width="1" style="38" customWidth="1"/>
    <col min="7434" max="7488" width="0" style="38" hidden="1" customWidth="1"/>
    <col min="7489" max="7490" width="1" style="38" customWidth="1"/>
    <col min="7491" max="7491" width="17.88671875" style="38" customWidth="1"/>
    <col min="7492" max="7495" width="1" style="38" customWidth="1"/>
    <col min="7496" max="7496" width="14.44140625" style="38" customWidth="1"/>
    <col min="7497" max="7498" width="1" style="38" customWidth="1"/>
    <col min="7499" max="7499" width="2" style="38" customWidth="1"/>
    <col min="7500" max="7500" width="3.88671875" style="38" customWidth="1"/>
    <col min="7501" max="7501" width="15.6640625" style="38" customWidth="1"/>
    <col min="7502" max="7502" width="13.44140625" style="38" bestFit="1" customWidth="1"/>
    <col min="7503" max="7503" width="13.88671875" style="38" customWidth="1"/>
    <col min="7504" max="7504" width="13.44140625" style="38" bestFit="1" customWidth="1"/>
    <col min="7505" max="7610" width="10" style="38"/>
    <col min="7611" max="7612" width="0" style="38" hidden="1" customWidth="1"/>
    <col min="7613" max="7613" width="1" style="38" customWidth="1"/>
    <col min="7614" max="7614" width="56" style="38" customWidth="1"/>
    <col min="7615" max="7616" width="1" style="38" customWidth="1"/>
    <col min="7617" max="7617" width="14.44140625" style="38" customWidth="1"/>
    <col min="7618" max="7619" width="1" style="38" customWidth="1"/>
    <col min="7620" max="7674" width="0" style="38" hidden="1" customWidth="1"/>
    <col min="7675" max="7676" width="1" style="38" customWidth="1"/>
    <col min="7677" max="7677" width="17.88671875" style="38" customWidth="1"/>
    <col min="7678" max="7681" width="1" style="38" customWidth="1"/>
    <col min="7682" max="7682" width="17.88671875" style="38" customWidth="1"/>
    <col min="7683" max="7686" width="1" style="38" customWidth="1"/>
    <col min="7687" max="7687" width="17.88671875" style="38" customWidth="1"/>
    <col min="7688" max="7689" width="1" style="38" customWidth="1"/>
    <col min="7690" max="7744" width="0" style="38" hidden="1" customWidth="1"/>
    <col min="7745" max="7746" width="1" style="38" customWidth="1"/>
    <col min="7747" max="7747" width="17.88671875" style="38" customWidth="1"/>
    <col min="7748" max="7751" width="1" style="38" customWidth="1"/>
    <col min="7752" max="7752" width="14.44140625" style="38" customWidth="1"/>
    <col min="7753" max="7754" width="1" style="38" customWidth="1"/>
    <col min="7755" max="7755" width="2" style="38" customWidth="1"/>
    <col min="7756" max="7756" width="3.88671875" style="38" customWidth="1"/>
    <col min="7757" max="7757" width="15.6640625" style="38" customWidth="1"/>
    <col min="7758" max="7758" width="13.44140625" style="38" bestFit="1" customWidth="1"/>
    <col min="7759" max="7759" width="13.88671875" style="38" customWidth="1"/>
    <col min="7760" max="7760" width="13.44140625" style="38" bestFit="1" customWidth="1"/>
    <col min="7761" max="7866" width="10" style="38"/>
    <col min="7867" max="7868" width="0" style="38" hidden="1" customWidth="1"/>
    <col min="7869" max="7869" width="1" style="38" customWidth="1"/>
    <col min="7870" max="7870" width="56" style="38" customWidth="1"/>
    <col min="7871" max="7872" width="1" style="38" customWidth="1"/>
    <col min="7873" max="7873" width="14.44140625" style="38" customWidth="1"/>
    <col min="7874" max="7875" width="1" style="38" customWidth="1"/>
    <col min="7876" max="7930" width="0" style="38" hidden="1" customWidth="1"/>
    <col min="7931" max="7932" width="1" style="38" customWidth="1"/>
    <col min="7933" max="7933" width="17.88671875" style="38" customWidth="1"/>
    <col min="7934" max="7937" width="1" style="38" customWidth="1"/>
    <col min="7938" max="7938" width="17.88671875" style="38" customWidth="1"/>
    <col min="7939" max="7942" width="1" style="38" customWidth="1"/>
    <col min="7943" max="7943" width="17.88671875" style="38" customWidth="1"/>
    <col min="7944" max="7945" width="1" style="38" customWidth="1"/>
    <col min="7946" max="8000" width="0" style="38" hidden="1" customWidth="1"/>
    <col min="8001" max="8002" width="1" style="38" customWidth="1"/>
    <col min="8003" max="8003" width="17.88671875" style="38" customWidth="1"/>
    <col min="8004" max="8007" width="1" style="38" customWidth="1"/>
    <col min="8008" max="8008" width="14.44140625" style="38" customWidth="1"/>
    <col min="8009" max="8010" width="1" style="38" customWidth="1"/>
    <col min="8011" max="8011" width="2" style="38" customWidth="1"/>
    <col min="8012" max="8012" width="3.88671875" style="38" customWidth="1"/>
    <col min="8013" max="8013" width="15.6640625" style="38" customWidth="1"/>
    <col min="8014" max="8014" width="13.44140625" style="38" bestFit="1" customWidth="1"/>
    <col min="8015" max="8015" width="13.88671875" style="38" customWidth="1"/>
    <col min="8016" max="8016" width="13.44140625" style="38" bestFit="1" customWidth="1"/>
    <col min="8017" max="8122" width="10" style="38"/>
    <col min="8123" max="8124" width="0" style="38" hidden="1" customWidth="1"/>
    <col min="8125" max="8125" width="1" style="38" customWidth="1"/>
    <col min="8126" max="8126" width="56" style="38" customWidth="1"/>
    <col min="8127" max="8128" width="1" style="38" customWidth="1"/>
    <col min="8129" max="8129" width="14.44140625" style="38" customWidth="1"/>
    <col min="8130" max="8131" width="1" style="38" customWidth="1"/>
    <col min="8132" max="8186" width="0" style="38" hidden="1" customWidth="1"/>
    <col min="8187" max="8188" width="1" style="38" customWidth="1"/>
    <col min="8189" max="8189" width="17.88671875" style="38" customWidth="1"/>
    <col min="8190" max="8193" width="1" style="38" customWidth="1"/>
    <col min="8194" max="8194" width="17.88671875" style="38" customWidth="1"/>
    <col min="8195" max="8198" width="1" style="38" customWidth="1"/>
    <col min="8199" max="8199" width="17.88671875" style="38" customWidth="1"/>
    <col min="8200" max="8201" width="1" style="38" customWidth="1"/>
    <col min="8202" max="8256" width="0" style="38" hidden="1" customWidth="1"/>
    <col min="8257" max="8258" width="1" style="38" customWidth="1"/>
    <col min="8259" max="8259" width="17.88671875" style="38" customWidth="1"/>
    <col min="8260" max="8263" width="1" style="38" customWidth="1"/>
    <col min="8264" max="8264" width="14.44140625" style="38" customWidth="1"/>
    <col min="8265" max="8266" width="1" style="38" customWidth="1"/>
    <col min="8267" max="8267" width="2" style="38" customWidth="1"/>
    <col min="8268" max="8268" width="3.88671875" style="38" customWidth="1"/>
    <col min="8269" max="8269" width="15.6640625" style="38" customWidth="1"/>
    <col min="8270" max="8270" width="13.44140625" style="38" bestFit="1" customWidth="1"/>
    <col min="8271" max="8271" width="13.88671875" style="38" customWidth="1"/>
    <col min="8272" max="8272" width="13.44140625" style="38" bestFit="1" customWidth="1"/>
    <col min="8273" max="8378" width="10" style="38"/>
    <col min="8379" max="8380" width="0" style="38" hidden="1" customWidth="1"/>
    <col min="8381" max="8381" width="1" style="38" customWidth="1"/>
    <col min="8382" max="8382" width="56" style="38" customWidth="1"/>
    <col min="8383" max="8384" width="1" style="38" customWidth="1"/>
    <col min="8385" max="8385" width="14.44140625" style="38" customWidth="1"/>
    <col min="8386" max="8387" width="1" style="38" customWidth="1"/>
    <col min="8388" max="8442" width="0" style="38" hidden="1" customWidth="1"/>
    <col min="8443" max="8444" width="1" style="38" customWidth="1"/>
    <col min="8445" max="8445" width="17.88671875" style="38" customWidth="1"/>
    <col min="8446" max="8449" width="1" style="38" customWidth="1"/>
    <col min="8450" max="8450" width="17.88671875" style="38" customWidth="1"/>
    <col min="8451" max="8454" width="1" style="38" customWidth="1"/>
    <col min="8455" max="8455" width="17.88671875" style="38" customWidth="1"/>
    <col min="8456" max="8457" width="1" style="38" customWidth="1"/>
    <col min="8458" max="8512" width="0" style="38" hidden="1" customWidth="1"/>
    <col min="8513" max="8514" width="1" style="38" customWidth="1"/>
    <col min="8515" max="8515" width="17.88671875" style="38" customWidth="1"/>
    <col min="8516" max="8519" width="1" style="38" customWidth="1"/>
    <col min="8520" max="8520" width="14.44140625" style="38" customWidth="1"/>
    <col min="8521" max="8522" width="1" style="38" customWidth="1"/>
    <col min="8523" max="8523" width="2" style="38" customWidth="1"/>
    <col min="8524" max="8524" width="3.88671875" style="38" customWidth="1"/>
    <col min="8525" max="8525" width="15.6640625" style="38" customWidth="1"/>
    <col min="8526" max="8526" width="13.44140625" style="38" bestFit="1" customWidth="1"/>
    <col min="8527" max="8527" width="13.88671875" style="38" customWidth="1"/>
    <col min="8528" max="8528" width="13.44140625" style="38" bestFit="1" customWidth="1"/>
    <col min="8529" max="8634" width="10" style="38"/>
    <col min="8635" max="8636" width="0" style="38" hidden="1" customWidth="1"/>
    <col min="8637" max="8637" width="1" style="38" customWidth="1"/>
    <col min="8638" max="8638" width="56" style="38" customWidth="1"/>
    <col min="8639" max="8640" width="1" style="38" customWidth="1"/>
    <col min="8641" max="8641" width="14.44140625" style="38" customWidth="1"/>
    <col min="8642" max="8643" width="1" style="38" customWidth="1"/>
    <col min="8644" max="8698" width="0" style="38" hidden="1" customWidth="1"/>
    <col min="8699" max="8700" width="1" style="38" customWidth="1"/>
    <col min="8701" max="8701" width="17.88671875" style="38" customWidth="1"/>
    <col min="8702" max="8705" width="1" style="38" customWidth="1"/>
    <col min="8706" max="8706" width="17.88671875" style="38" customWidth="1"/>
    <col min="8707" max="8710" width="1" style="38" customWidth="1"/>
    <col min="8711" max="8711" width="17.88671875" style="38" customWidth="1"/>
    <col min="8712" max="8713" width="1" style="38" customWidth="1"/>
    <col min="8714" max="8768" width="0" style="38" hidden="1" customWidth="1"/>
    <col min="8769" max="8770" width="1" style="38" customWidth="1"/>
    <col min="8771" max="8771" width="17.88671875" style="38" customWidth="1"/>
    <col min="8772" max="8775" width="1" style="38" customWidth="1"/>
    <col min="8776" max="8776" width="14.44140625" style="38" customWidth="1"/>
    <col min="8777" max="8778" width="1" style="38" customWidth="1"/>
    <col min="8779" max="8779" width="2" style="38" customWidth="1"/>
    <col min="8780" max="8780" width="3.88671875" style="38" customWidth="1"/>
    <col min="8781" max="8781" width="15.6640625" style="38" customWidth="1"/>
    <col min="8782" max="8782" width="13.44140625" style="38" bestFit="1" customWidth="1"/>
    <col min="8783" max="8783" width="13.88671875" style="38" customWidth="1"/>
    <col min="8784" max="8784" width="13.44140625" style="38" bestFit="1" customWidth="1"/>
    <col min="8785" max="8890" width="10" style="38"/>
    <col min="8891" max="8892" width="0" style="38" hidden="1" customWidth="1"/>
    <col min="8893" max="8893" width="1" style="38" customWidth="1"/>
    <col min="8894" max="8894" width="56" style="38" customWidth="1"/>
    <col min="8895" max="8896" width="1" style="38" customWidth="1"/>
    <col min="8897" max="8897" width="14.44140625" style="38" customWidth="1"/>
    <col min="8898" max="8899" width="1" style="38" customWidth="1"/>
    <col min="8900" max="8954" width="0" style="38" hidden="1" customWidth="1"/>
    <col min="8955" max="8956" width="1" style="38" customWidth="1"/>
    <col min="8957" max="8957" width="17.88671875" style="38" customWidth="1"/>
    <col min="8958" max="8961" width="1" style="38" customWidth="1"/>
    <col min="8962" max="8962" width="17.88671875" style="38" customWidth="1"/>
    <col min="8963" max="8966" width="1" style="38" customWidth="1"/>
    <col min="8967" max="8967" width="17.88671875" style="38" customWidth="1"/>
    <col min="8968" max="8969" width="1" style="38" customWidth="1"/>
    <col min="8970" max="9024" width="0" style="38" hidden="1" customWidth="1"/>
    <col min="9025" max="9026" width="1" style="38" customWidth="1"/>
    <col min="9027" max="9027" width="17.88671875" style="38" customWidth="1"/>
    <col min="9028" max="9031" width="1" style="38" customWidth="1"/>
    <col min="9032" max="9032" width="14.44140625" style="38" customWidth="1"/>
    <col min="9033" max="9034" width="1" style="38" customWidth="1"/>
    <col min="9035" max="9035" width="2" style="38" customWidth="1"/>
    <col min="9036" max="9036" width="3.88671875" style="38" customWidth="1"/>
    <col min="9037" max="9037" width="15.6640625" style="38" customWidth="1"/>
    <col min="9038" max="9038" width="13.44140625" style="38" bestFit="1" customWidth="1"/>
    <col min="9039" max="9039" width="13.88671875" style="38" customWidth="1"/>
    <col min="9040" max="9040" width="13.44140625" style="38" bestFit="1" customWidth="1"/>
    <col min="9041" max="9146" width="10" style="38"/>
    <col min="9147" max="9148" width="0" style="38" hidden="1" customWidth="1"/>
    <col min="9149" max="9149" width="1" style="38" customWidth="1"/>
    <col min="9150" max="9150" width="56" style="38" customWidth="1"/>
    <col min="9151" max="9152" width="1" style="38" customWidth="1"/>
    <col min="9153" max="9153" width="14.44140625" style="38" customWidth="1"/>
    <col min="9154" max="9155" width="1" style="38" customWidth="1"/>
    <col min="9156" max="9210" width="0" style="38" hidden="1" customWidth="1"/>
    <col min="9211" max="9212" width="1" style="38" customWidth="1"/>
    <col min="9213" max="9213" width="17.88671875" style="38" customWidth="1"/>
    <col min="9214" max="9217" width="1" style="38" customWidth="1"/>
    <col min="9218" max="9218" width="17.88671875" style="38" customWidth="1"/>
    <col min="9219" max="9222" width="1" style="38" customWidth="1"/>
    <col min="9223" max="9223" width="17.88671875" style="38" customWidth="1"/>
    <col min="9224" max="9225" width="1" style="38" customWidth="1"/>
    <col min="9226" max="9280" width="0" style="38" hidden="1" customWidth="1"/>
    <col min="9281" max="9282" width="1" style="38" customWidth="1"/>
    <col min="9283" max="9283" width="17.88671875" style="38" customWidth="1"/>
    <col min="9284" max="9287" width="1" style="38" customWidth="1"/>
    <col min="9288" max="9288" width="14.44140625" style="38" customWidth="1"/>
    <col min="9289" max="9290" width="1" style="38" customWidth="1"/>
    <col min="9291" max="9291" width="2" style="38" customWidth="1"/>
    <col min="9292" max="9292" width="3.88671875" style="38" customWidth="1"/>
    <col min="9293" max="9293" width="15.6640625" style="38" customWidth="1"/>
    <col min="9294" max="9294" width="13.44140625" style="38" bestFit="1" customWidth="1"/>
    <col min="9295" max="9295" width="13.88671875" style="38" customWidth="1"/>
    <col min="9296" max="9296" width="13.44140625" style="38" bestFit="1" customWidth="1"/>
    <col min="9297" max="9402" width="10" style="38"/>
    <col min="9403" max="9404" width="0" style="38" hidden="1" customWidth="1"/>
    <col min="9405" max="9405" width="1" style="38" customWidth="1"/>
    <col min="9406" max="9406" width="56" style="38" customWidth="1"/>
    <col min="9407" max="9408" width="1" style="38" customWidth="1"/>
    <col min="9409" max="9409" width="14.44140625" style="38" customWidth="1"/>
    <col min="9410" max="9411" width="1" style="38" customWidth="1"/>
    <col min="9412" max="9466" width="0" style="38" hidden="1" customWidth="1"/>
    <col min="9467" max="9468" width="1" style="38" customWidth="1"/>
    <col min="9469" max="9469" width="17.88671875" style="38" customWidth="1"/>
    <col min="9470" max="9473" width="1" style="38" customWidth="1"/>
    <col min="9474" max="9474" width="17.88671875" style="38" customWidth="1"/>
    <col min="9475" max="9478" width="1" style="38" customWidth="1"/>
    <col min="9479" max="9479" width="17.88671875" style="38" customWidth="1"/>
    <col min="9480" max="9481" width="1" style="38" customWidth="1"/>
    <col min="9482" max="9536" width="0" style="38" hidden="1" customWidth="1"/>
    <col min="9537" max="9538" width="1" style="38" customWidth="1"/>
    <col min="9539" max="9539" width="17.88671875" style="38" customWidth="1"/>
    <col min="9540" max="9543" width="1" style="38" customWidth="1"/>
    <col min="9544" max="9544" width="14.44140625" style="38" customWidth="1"/>
    <col min="9545" max="9546" width="1" style="38" customWidth="1"/>
    <col min="9547" max="9547" width="2" style="38" customWidth="1"/>
    <col min="9548" max="9548" width="3.88671875" style="38" customWidth="1"/>
    <col min="9549" max="9549" width="15.6640625" style="38" customWidth="1"/>
    <col min="9550" max="9550" width="13.44140625" style="38" bestFit="1" customWidth="1"/>
    <col min="9551" max="9551" width="13.88671875" style="38" customWidth="1"/>
    <col min="9552" max="9552" width="13.44140625" style="38" bestFit="1" customWidth="1"/>
    <col min="9553" max="9658" width="10" style="38"/>
    <col min="9659" max="9660" width="0" style="38" hidden="1" customWidth="1"/>
    <col min="9661" max="9661" width="1" style="38" customWidth="1"/>
    <col min="9662" max="9662" width="56" style="38" customWidth="1"/>
    <col min="9663" max="9664" width="1" style="38" customWidth="1"/>
    <col min="9665" max="9665" width="14.44140625" style="38" customWidth="1"/>
    <col min="9666" max="9667" width="1" style="38" customWidth="1"/>
    <col min="9668" max="9722" width="0" style="38" hidden="1" customWidth="1"/>
    <col min="9723" max="9724" width="1" style="38" customWidth="1"/>
    <col min="9725" max="9725" width="17.88671875" style="38" customWidth="1"/>
    <col min="9726" max="9729" width="1" style="38" customWidth="1"/>
    <col min="9730" max="9730" width="17.88671875" style="38" customWidth="1"/>
    <col min="9731" max="9734" width="1" style="38" customWidth="1"/>
    <col min="9735" max="9735" width="17.88671875" style="38" customWidth="1"/>
    <col min="9736" max="9737" width="1" style="38" customWidth="1"/>
    <col min="9738" max="9792" width="0" style="38" hidden="1" customWidth="1"/>
    <col min="9793" max="9794" width="1" style="38" customWidth="1"/>
    <col min="9795" max="9795" width="17.88671875" style="38" customWidth="1"/>
    <col min="9796" max="9799" width="1" style="38" customWidth="1"/>
    <col min="9800" max="9800" width="14.44140625" style="38" customWidth="1"/>
    <col min="9801" max="9802" width="1" style="38" customWidth="1"/>
    <col min="9803" max="9803" width="2" style="38" customWidth="1"/>
    <col min="9804" max="9804" width="3.88671875" style="38" customWidth="1"/>
    <col min="9805" max="9805" width="15.6640625" style="38" customWidth="1"/>
    <col min="9806" max="9806" width="13.44140625" style="38" bestFit="1" customWidth="1"/>
    <col min="9807" max="9807" width="13.88671875" style="38" customWidth="1"/>
    <col min="9808" max="9808" width="13.44140625" style="38" bestFit="1" customWidth="1"/>
    <col min="9809" max="9914" width="10" style="38"/>
    <col min="9915" max="9916" width="0" style="38" hidden="1" customWidth="1"/>
    <col min="9917" max="9917" width="1" style="38" customWidth="1"/>
    <col min="9918" max="9918" width="56" style="38" customWidth="1"/>
    <col min="9919" max="9920" width="1" style="38" customWidth="1"/>
    <col min="9921" max="9921" width="14.44140625" style="38" customWidth="1"/>
    <col min="9922" max="9923" width="1" style="38" customWidth="1"/>
    <col min="9924" max="9978" width="0" style="38" hidden="1" customWidth="1"/>
    <col min="9979" max="9980" width="1" style="38" customWidth="1"/>
    <col min="9981" max="9981" width="17.88671875" style="38" customWidth="1"/>
    <col min="9982" max="9985" width="1" style="38" customWidth="1"/>
    <col min="9986" max="9986" width="17.88671875" style="38" customWidth="1"/>
    <col min="9987" max="9990" width="1" style="38" customWidth="1"/>
    <col min="9991" max="9991" width="17.88671875" style="38" customWidth="1"/>
    <col min="9992" max="9993" width="1" style="38" customWidth="1"/>
    <col min="9994" max="10048" width="0" style="38" hidden="1" customWidth="1"/>
    <col min="10049" max="10050" width="1" style="38" customWidth="1"/>
    <col min="10051" max="10051" width="17.88671875" style="38" customWidth="1"/>
    <col min="10052" max="10055" width="1" style="38" customWidth="1"/>
    <col min="10056" max="10056" width="14.44140625" style="38" customWidth="1"/>
    <col min="10057" max="10058" width="1" style="38" customWidth="1"/>
    <col min="10059" max="10059" width="2" style="38" customWidth="1"/>
    <col min="10060" max="10060" width="3.88671875" style="38" customWidth="1"/>
    <col min="10061" max="10061" width="15.6640625" style="38" customWidth="1"/>
    <col min="10062" max="10062" width="13.44140625" style="38" bestFit="1" customWidth="1"/>
    <col min="10063" max="10063" width="13.88671875" style="38" customWidth="1"/>
    <col min="10064" max="10064" width="13.44140625" style="38" bestFit="1" customWidth="1"/>
    <col min="10065" max="10170" width="10" style="38"/>
    <col min="10171" max="10172" width="0" style="38" hidden="1" customWidth="1"/>
    <col min="10173" max="10173" width="1" style="38" customWidth="1"/>
    <col min="10174" max="10174" width="56" style="38" customWidth="1"/>
    <col min="10175" max="10176" width="1" style="38" customWidth="1"/>
    <col min="10177" max="10177" width="14.44140625" style="38" customWidth="1"/>
    <col min="10178" max="10179" width="1" style="38" customWidth="1"/>
    <col min="10180" max="10234" width="0" style="38" hidden="1" customWidth="1"/>
    <col min="10235" max="10236" width="1" style="38" customWidth="1"/>
    <col min="10237" max="10237" width="17.88671875" style="38" customWidth="1"/>
    <col min="10238" max="10241" width="1" style="38" customWidth="1"/>
    <col min="10242" max="10242" width="17.88671875" style="38" customWidth="1"/>
    <col min="10243" max="10246" width="1" style="38" customWidth="1"/>
    <col min="10247" max="10247" width="17.88671875" style="38" customWidth="1"/>
    <col min="10248" max="10249" width="1" style="38" customWidth="1"/>
    <col min="10250" max="10304" width="0" style="38" hidden="1" customWidth="1"/>
    <col min="10305" max="10306" width="1" style="38" customWidth="1"/>
    <col min="10307" max="10307" width="17.88671875" style="38" customWidth="1"/>
    <col min="10308" max="10311" width="1" style="38" customWidth="1"/>
    <col min="10312" max="10312" width="14.44140625" style="38" customWidth="1"/>
    <col min="10313" max="10314" width="1" style="38" customWidth="1"/>
    <col min="10315" max="10315" width="2" style="38" customWidth="1"/>
    <col min="10316" max="10316" width="3.88671875" style="38" customWidth="1"/>
    <col min="10317" max="10317" width="15.6640625" style="38" customWidth="1"/>
    <col min="10318" max="10318" width="13.44140625" style="38" bestFit="1" customWidth="1"/>
    <col min="10319" max="10319" width="13.88671875" style="38" customWidth="1"/>
    <col min="10320" max="10320" width="13.44140625" style="38" bestFit="1" customWidth="1"/>
    <col min="10321" max="10426" width="10" style="38"/>
    <col min="10427" max="10428" width="0" style="38" hidden="1" customWidth="1"/>
    <col min="10429" max="10429" width="1" style="38" customWidth="1"/>
    <col min="10430" max="10430" width="56" style="38" customWidth="1"/>
    <col min="10431" max="10432" width="1" style="38" customWidth="1"/>
    <col min="10433" max="10433" width="14.44140625" style="38" customWidth="1"/>
    <col min="10434" max="10435" width="1" style="38" customWidth="1"/>
    <col min="10436" max="10490" width="0" style="38" hidden="1" customWidth="1"/>
    <col min="10491" max="10492" width="1" style="38" customWidth="1"/>
    <col min="10493" max="10493" width="17.88671875" style="38" customWidth="1"/>
    <col min="10494" max="10497" width="1" style="38" customWidth="1"/>
    <col min="10498" max="10498" width="17.88671875" style="38" customWidth="1"/>
    <col min="10499" max="10502" width="1" style="38" customWidth="1"/>
    <col min="10503" max="10503" width="17.88671875" style="38" customWidth="1"/>
    <col min="10504" max="10505" width="1" style="38" customWidth="1"/>
    <col min="10506" max="10560" width="0" style="38" hidden="1" customWidth="1"/>
    <col min="10561" max="10562" width="1" style="38" customWidth="1"/>
    <col min="10563" max="10563" width="17.88671875" style="38" customWidth="1"/>
    <col min="10564" max="10567" width="1" style="38" customWidth="1"/>
    <col min="10568" max="10568" width="14.44140625" style="38" customWidth="1"/>
    <col min="10569" max="10570" width="1" style="38" customWidth="1"/>
    <col min="10571" max="10571" width="2" style="38" customWidth="1"/>
    <col min="10572" max="10572" width="3.88671875" style="38" customWidth="1"/>
    <col min="10573" max="10573" width="15.6640625" style="38" customWidth="1"/>
    <col min="10574" max="10574" width="13.44140625" style="38" bestFit="1" customWidth="1"/>
    <col min="10575" max="10575" width="13.88671875" style="38" customWidth="1"/>
    <col min="10576" max="10576" width="13.44140625" style="38" bestFit="1" customWidth="1"/>
    <col min="10577" max="10682" width="10" style="38"/>
    <col min="10683" max="10684" width="0" style="38" hidden="1" customWidth="1"/>
    <col min="10685" max="10685" width="1" style="38" customWidth="1"/>
    <col min="10686" max="10686" width="56" style="38" customWidth="1"/>
    <col min="10687" max="10688" width="1" style="38" customWidth="1"/>
    <col min="10689" max="10689" width="14.44140625" style="38" customWidth="1"/>
    <col min="10690" max="10691" width="1" style="38" customWidth="1"/>
    <col min="10692" max="10746" width="0" style="38" hidden="1" customWidth="1"/>
    <col min="10747" max="10748" width="1" style="38" customWidth="1"/>
    <col min="10749" max="10749" width="17.88671875" style="38" customWidth="1"/>
    <col min="10750" max="10753" width="1" style="38" customWidth="1"/>
    <col min="10754" max="10754" width="17.88671875" style="38" customWidth="1"/>
    <col min="10755" max="10758" width="1" style="38" customWidth="1"/>
    <col min="10759" max="10759" width="17.88671875" style="38" customWidth="1"/>
    <col min="10760" max="10761" width="1" style="38" customWidth="1"/>
    <col min="10762" max="10816" width="0" style="38" hidden="1" customWidth="1"/>
    <col min="10817" max="10818" width="1" style="38" customWidth="1"/>
    <col min="10819" max="10819" width="17.88671875" style="38" customWidth="1"/>
    <col min="10820" max="10823" width="1" style="38" customWidth="1"/>
    <col min="10824" max="10824" width="14.44140625" style="38" customWidth="1"/>
    <col min="10825" max="10826" width="1" style="38" customWidth="1"/>
    <col min="10827" max="10827" width="2" style="38" customWidth="1"/>
    <col min="10828" max="10828" width="3.88671875" style="38" customWidth="1"/>
    <col min="10829" max="10829" width="15.6640625" style="38" customWidth="1"/>
    <col min="10830" max="10830" width="13.44140625" style="38" bestFit="1" customWidth="1"/>
    <col min="10831" max="10831" width="13.88671875" style="38" customWidth="1"/>
    <col min="10832" max="10832" width="13.44140625" style="38" bestFit="1" customWidth="1"/>
    <col min="10833" max="10938" width="10" style="38"/>
    <col min="10939" max="10940" width="0" style="38" hidden="1" customWidth="1"/>
    <col min="10941" max="10941" width="1" style="38" customWidth="1"/>
    <col min="10942" max="10942" width="56" style="38" customWidth="1"/>
    <col min="10943" max="10944" width="1" style="38" customWidth="1"/>
    <col min="10945" max="10945" width="14.44140625" style="38" customWidth="1"/>
    <col min="10946" max="10947" width="1" style="38" customWidth="1"/>
    <col min="10948" max="11002" width="0" style="38" hidden="1" customWidth="1"/>
    <col min="11003" max="11004" width="1" style="38" customWidth="1"/>
    <col min="11005" max="11005" width="17.88671875" style="38" customWidth="1"/>
    <col min="11006" max="11009" width="1" style="38" customWidth="1"/>
    <col min="11010" max="11010" width="17.88671875" style="38" customWidth="1"/>
    <col min="11011" max="11014" width="1" style="38" customWidth="1"/>
    <col min="11015" max="11015" width="17.88671875" style="38" customWidth="1"/>
    <col min="11016" max="11017" width="1" style="38" customWidth="1"/>
    <col min="11018" max="11072" width="0" style="38" hidden="1" customWidth="1"/>
    <col min="11073" max="11074" width="1" style="38" customWidth="1"/>
    <col min="11075" max="11075" width="17.88671875" style="38" customWidth="1"/>
    <col min="11076" max="11079" width="1" style="38" customWidth="1"/>
    <col min="11080" max="11080" width="14.44140625" style="38" customWidth="1"/>
    <col min="11081" max="11082" width="1" style="38" customWidth="1"/>
    <col min="11083" max="11083" width="2" style="38" customWidth="1"/>
    <col min="11084" max="11084" width="3.88671875" style="38" customWidth="1"/>
    <col min="11085" max="11085" width="15.6640625" style="38" customWidth="1"/>
    <col min="11086" max="11086" width="13.44140625" style="38" bestFit="1" customWidth="1"/>
    <col min="11087" max="11087" width="13.88671875" style="38" customWidth="1"/>
    <col min="11088" max="11088" width="13.44140625" style="38" bestFit="1" customWidth="1"/>
    <col min="11089" max="11194" width="10" style="38"/>
    <col min="11195" max="11196" width="0" style="38" hidden="1" customWidth="1"/>
    <col min="11197" max="11197" width="1" style="38" customWidth="1"/>
    <col min="11198" max="11198" width="56" style="38" customWidth="1"/>
    <col min="11199" max="11200" width="1" style="38" customWidth="1"/>
    <col min="11201" max="11201" width="14.44140625" style="38" customWidth="1"/>
    <col min="11202" max="11203" width="1" style="38" customWidth="1"/>
    <col min="11204" max="11258" width="0" style="38" hidden="1" customWidth="1"/>
    <col min="11259" max="11260" width="1" style="38" customWidth="1"/>
    <col min="11261" max="11261" width="17.88671875" style="38" customWidth="1"/>
    <col min="11262" max="11265" width="1" style="38" customWidth="1"/>
    <col min="11266" max="11266" width="17.88671875" style="38" customWidth="1"/>
    <col min="11267" max="11270" width="1" style="38" customWidth="1"/>
    <col min="11271" max="11271" width="17.88671875" style="38" customWidth="1"/>
    <col min="11272" max="11273" width="1" style="38" customWidth="1"/>
    <col min="11274" max="11328" width="0" style="38" hidden="1" customWidth="1"/>
    <col min="11329" max="11330" width="1" style="38" customWidth="1"/>
    <col min="11331" max="11331" width="17.88671875" style="38" customWidth="1"/>
    <col min="11332" max="11335" width="1" style="38" customWidth="1"/>
    <col min="11336" max="11336" width="14.44140625" style="38" customWidth="1"/>
    <col min="11337" max="11338" width="1" style="38" customWidth="1"/>
    <col min="11339" max="11339" width="2" style="38" customWidth="1"/>
    <col min="11340" max="11340" width="3.88671875" style="38" customWidth="1"/>
    <col min="11341" max="11341" width="15.6640625" style="38" customWidth="1"/>
    <col min="11342" max="11342" width="13.44140625" style="38" bestFit="1" customWidth="1"/>
    <col min="11343" max="11343" width="13.88671875" style="38" customWidth="1"/>
    <col min="11344" max="11344" width="13.44140625" style="38" bestFit="1" customWidth="1"/>
    <col min="11345" max="11450" width="10" style="38"/>
    <col min="11451" max="11452" width="0" style="38" hidden="1" customWidth="1"/>
    <col min="11453" max="11453" width="1" style="38" customWidth="1"/>
    <col min="11454" max="11454" width="56" style="38" customWidth="1"/>
    <col min="11455" max="11456" width="1" style="38" customWidth="1"/>
    <col min="11457" max="11457" width="14.44140625" style="38" customWidth="1"/>
    <col min="11458" max="11459" width="1" style="38" customWidth="1"/>
    <col min="11460" max="11514" width="0" style="38" hidden="1" customWidth="1"/>
    <col min="11515" max="11516" width="1" style="38" customWidth="1"/>
    <col min="11517" max="11517" width="17.88671875" style="38" customWidth="1"/>
    <col min="11518" max="11521" width="1" style="38" customWidth="1"/>
    <col min="11522" max="11522" width="17.88671875" style="38" customWidth="1"/>
    <col min="11523" max="11526" width="1" style="38" customWidth="1"/>
    <col min="11527" max="11527" width="17.88671875" style="38" customWidth="1"/>
    <col min="11528" max="11529" width="1" style="38" customWidth="1"/>
    <col min="11530" max="11584" width="0" style="38" hidden="1" customWidth="1"/>
    <col min="11585" max="11586" width="1" style="38" customWidth="1"/>
    <col min="11587" max="11587" width="17.88671875" style="38" customWidth="1"/>
    <col min="11588" max="11591" width="1" style="38" customWidth="1"/>
    <col min="11592" max="11592" width="14.44140625" style="38" customWidth="1"/>
    <col min="11593" max="11594" width="1" style="38" customWidth="1"/>
    <col min="11595" max="11595" width="2" style="38" customWidth="1"/>
    <col min="11596" max="11596" width="3.88671875" style="38" customWidth="1"/>
    <col min="11597" max="11597" width="15.6640625" style="38" customWidth="1"/>
    <col min="11598" max="11598" width="13.44140625" style="38" bestFit="1" customWidth="1"/>
    <col min="11599" max="11599" width="13.88671875" style="38" customWidth="1"/>
    <col min="11600" max="11600" width="13.44140625" style="38" bestFit="1" customWidth="1"/>
    <col min="11601" max="11706" width="10" style="38"/>
    <col min="11707" max="11708" width="0" style="38" hidden="1" customWidth="1"/>
    <col min="11709" max="11709" width="1" style="38" customWidth="1"/>
    <col min="11710" max="11710" width="56" style="38" customWidth="1"/>
    <col min="11711" max="11712" width="1" style="38" customWidth="1"/>
    <col min="11713" max="11713" width="14.44140625" style="38" customWidth="1"/>
    <col min="11714" max="11715" width="1" style="38" customWidth="1"/>
    <col min="11716" max="11770" width="0" style="38" hidden="1" customWidth="1"/>
    <col min="11771" max="11772" width="1" style="38" customWidth="1"/>
    <col min="11773" max="11773" width="17.88671875" style="38" customWidth="1"/>
    <col min="11774" max="11777" width="1" style="38" customWidth="1"/>
    <col min="11778" max="11778" width="17.88671875" style="38" customWidth="1"/>
    <col min="11779" max="11782" width="1" style="38" customWidth="1"/>
    <col min="11783" max="11783" width="17.88671875" style="38" customWidth="1"/>
    <col min="11784" max="11785" width="1" style="38" customWidth="1"/>
    <col min="11786" max="11840" width="0" style="38" hidden="1" customWidth="1"/>
    <col min="11841" max="11842" width="1" style="38" customWidth="1"/>
    <col min="11843" max="11843" width="17.88671875" style="38" customWidth="1"/>
    <col min="11844" max="11847" width="1" style="38" customWidth="1"/>
    <col min="11848" max="11848" width="14.44140625" style="38" customWidth="1"/>
    <col min="11849" max="11850" width="1" style="38" customWidth="1"/>
    <col min="11851" max="11851" width="2" style="38" customWidth="1"/>
    <col min="11852" max="11852" width="3.88671875" style="38" customWidth="1"/>
    <col min="11853" max="11853" width="15.6640625" style="38" customWidth="1"/>
    <col min="11854" max="11854" width="13.44140625" style="38" bestFit="1" customWidth="1"/>
    <col min="11855" max="11855" width="13.88671875" style="38" customWidth="1"/>
    <col min="11856" max="11856" width="13.44140625" style="38" bestFit="1" customWidth="1"/>
    <col min="11857" max="11962" width="10" style="38"/>
    <col min="11963" max="11964" width="0" style="38" hidden="1" customWidth="1"/>
    <col min="11965" max="11965" width="1" style="38" customWidth="1"/>
    <col min="11966" max="11966" width="56" style="38" customWidth="1"/>
    <col min="11967" max="11968" width="1" style="38" customWidth="1"/>
    <col min="11969" max="11969" width="14.44140625" style="38" customWidth="1"/>
    <col min="11970" max="11971" width="1" style="38" customWidth="1"/>
    <col min="11972" max="12026" width="0" style="38" hidden="1" customWidth="1"/>
    <col min="12027" max="12028" width="1" style="38" customWidth="1"/>
    <col min="12029" max="12029" width="17.88671875" style="38" customWidth="1"/>
    <col min="12030" max="12033" width="1" style="38" customWidth="1"/>
    <col min="12034" max="12034" width="17.88671875" style="38" customWidth="1"/>
    <col min="12035" max="12038" width="1" style="38" customWidth="1"/>
    <col min="12039" max="12039" width="17.88671875" style="38" customWidth="1"/>
    <col min="12040" max="12041" width="1" style="38" customWidth="1"/>
    <col min="12042" max="12096" width="0" style="38" hidden="1" customWidth="1"/>
    <col min="12097" max="12098" width="1" style="38" customWidth="1"/>
    <col min="12099" max="12099" width="17.88671875" style="38" customWidth="1"/>
    <col min="12100" max="12103" width="1" style="38" customWidth="1"/>
    <col min="12104" max="12104" width="14.44140625" style="38" customWidth="1"/>
    <col min="12105" max="12106" width="1" style="38" customWidth="1"/>
    <col min="12107" max="12107" width="2" style="38" customWidth="1"/>
    <col min="12108" max="12108" width="3.88671875" style="38" customWidth="1"/>
    <col min="12109" max="12109" width="15.6640625" style="38" customWidth="1"/>
    <col min="12110" max="12110" width="13.44140625" style="38" bestFit="1" customWidth="1"/>
    <col min="12111" max="12111" width="13.88671875" style="38" customWidth="1"/>
    <col min="12112" max="12112" width="13.44140625" style="38" bestFit="1" customWidth="1"/>
    <col min="12113" max="12218" width="10" style="38"/>
    <col min="12219" max="12220" width="0" style="38" hidden="1" customWidth="1"/>
    <col min="12221" max="12221" width="1" style="38" customWidth="1"/>
    <col min="12222" max="12222" width="56" style="38" customWidth="1"/>
    <col min="12223" max="12224" width="1" style="38" customWidth="1"/>
    <col min="12225" max="12225" width="14.44140625" style="38" customWidth="1"/>
    <col min="12226" max="12227" width="1" style="38" customWidth="1"/>
    <col min="12228" max="12282" width="0" style="38" hidden="1" customWidth="1"/>
    <col min="12283" max="12284" width="1" style="38" customWidth="1"/>
    <col min="12285" max="12285" width="17.88671875" style="38" customWidth="1"/>
    <col min="12286" max="12289" width="1" style="38" customWidth="1"/>
    <col min="12290" max="12290" width="17.88671875" style="38" customWidth="1"/>
    <col min="12291" max="12294" width="1" style="38" customWidth="1"/>
    <col min="12295" max="12295" width="17.88671875" style="38" customWidth="1"/>
    <col min="12296" max="12297" width="1" style="38" customWidth="1"/>
    <col min="12298" max="12352" width="0" style="38" hidden="1" customWidth="1"/>
    <col min="12353" max="12354" width="1" style="38" customWidth="1"/>
    <col min="12355" max="12355" width="17.88671875" style="38" customWidth="1"/>
    <col min="12356" max="12359" width="1" style="38" customWidth="1"/>
    <col min="12360" max="12360" width="14.44140625" style="38" customWidth="1"/>
    <col min="12361" max="12362" width="1" style="38" customWidth="1"/>
    <col min="12363" max="12363" width="2" style="38" customWidth="1"/>
    <col min="12364" max="12364" width="3.88671875" style="38" customWidth="1"/>
    <col min="12365" max="12365" width="15.6640625" style="38" customWidth="1"/>
    <col min="12366" max="12366" width="13.44140625" style="38" bestFit="1" customWidth="1"/>
    <col min="12367" max="12367" width="13.88671875" style="38" customWidth="1"/>
    <col min="12368" max="12368" width="13.44140625" style="38" bestFit="1" customWidth="1"/>
    <col min="12369" max="12474" width="10" style="38"/>
    <col min="12475" max="12476" width="0" style="38" hidden="1" customWidth="1"/>
    <col min="12477" max="12477" width="1" style="38" customWidth="1"/>
    <col min="12478" max="12478" width="56" style="38" customWidth="1"/>
    <col min="12479" max="12480" width="1" style="38" customWidth="1"/>
    <col min="12481" max="12481" width="14.44140625" style="38" customWidth="1"/>
    <col min="12482" max="12483" width="1" style="38" customWidth="1"/>
    <col min="12484" max="12538" width="0" style="38" hidden="1" customWidth="1"/>
    <col min="12539" max="12540" width="1" style="38" customWidth="1"/>
    <col min="12541" max="12541" width="17.88671875" style="38" customWidth="1"/>
    <col min="12542" max="12545" width="1" style="38" customWidth="1"/>
    <col min="12546" max="12546" width="17.88671875" style="38" customWidth="1"/>
    <col min="12547" max="12550" width="1" style="38" customWidth="1"/>
    <col min="12551" max="12551" width="17.88671875" style="38" customWidth="1"/>
    <col min="12552" max="12553" width="1" style="38" customWidth="1"/>
    <col min="12554" max="12608" width="0" style="38" hidden="1" customWidth="1"/>
    <col min="12609" max="12610" width="1" style="38" customWidth="1"/>
    <col min="12611" max="12611" width="17.88671875" style="38" customWidth="1"/>
    <col min="12612" max="12615" width="1" style="38" customWidth="1"/>
    <col min="12616" max="12616" width="14.44140625" style="38" customWidth="1"/>
    <col min="12617" max="12618" width="1" style="38" customWidth="1"/>
    <col min="12619" max="12619" width="2" style="38" customWidth="1"/>
    <col min="12620" max="12620" width="3.88671875" style="38" customWidth="1"/>
    <col min="12621" max="12621" width="15.6640625" style="38" customWidth="1"/>
    <col min="12622" max="12622" width="13.44140625" style="38" bestFit="1" customWidth="1"/>
    <col min="12623" max="12623" width="13.88671875" style="38" customWidth="1"/>
    <col min="12624" max="12624" width="13.44140625" style="38" bestFit="1" customWidth="1"/>
    <col min="12625" max="12730" width="10" style="38"/>
    <col min="12731" max="12732" width="0" style="38" hidden="1" customWidth="1"/>
    <col min="12733" max="12733" width="1" style="38" customWidth="1"/>
    <col min="12734" max="12734" width="56" style="38" customWidth="1"/>
    <col min="12735" max="12736" width="1" style="38" customWidth="1"/>
    <col min="12737" max="12737" width="14.44140625" style="38" customWidth="1"/>
    <col min="12738" max="12739" width="1" style="38" customWidth="1"/>
    <col min="12740" max="12794" width="0" style="38" hidden="1" customWidth="1"/>
    <col min="12795" max="12796" width="1" style="38" customWidth="1"/>
    <col min="12797" max="12797" width="17.88671875" style="38" customWidth="1"/>
    <col min="12798" max="12801" width="1" style="38" customWidth="1"/>
    <col min="12802" max="12802" width="17.88671875" style="38" customWidth="1"/>
    <col min="12803" max="12806" width="1" style="38" customWidth="1"/>
    <col min="12807" max="12807" width="17.88671875" style="38" customWidth="1"/>
    <col min="12808" max="12809" width="1" style="38" customWidth="1"/>
    <col min="12810" max="12864" width="0" style="38" hidden="1" customWidth="1"/>
    <col min="12865" max="12866" width="1" style="38" customWidth="1"/>
    <col min="12867" max="12867" width="17.88671875" style="38" customWidth="1"/>
    <col min="12868" max="12871" width="1" style="38" customWidth="1"/>
    <col min="12872" max="12872" width="14.44140625" style="38" customWidth="1"/>
    <col min="12873" max="12874" width="1" style="38" customWidth="1"/>
    <col min="12875" max="12875" width="2" style="38" customWidth="1"/>
    <col min="12876" max="12876" width="3.88671875" style="38" customWidth="1"/>
    <col min="12877" max="12877" width="15.6640625" style="38" customWidth="1"/>
    <col min="12878" max="12878" width="13.44140625" style="38" bestFit="1" customWidth="1"/>
    <col min="12879" max="12879" width="13.88671875" style="38" customWidth="1"/>
    <col min="12880" max="12880" width="13.44140625" style="38" bestFit="1" customWidth="1"/>
    <col min="12881" max="12986" width="10" style="38"/>
    <col min="12987" max="12988" width="0" style="38" hidden="1" customWidth="1"/>
    <col min="12989" max="12989" width="1" style="38" customWidth="1"/>
    <col min="12990" max="12990" width="56" style="38" customWidth="1"/>
    <col min="12991" max="12992" width="1" style="38" customWidth="1"/>
    <col min="12993" max="12993" width="14.44140625" style="38" customWidth="1"/>
    <col min="12994" max="12995" width="1" style="38" customWidth="1"/>
    <col min="12996" max="13050" width="0" style="38" hidden="1" customWidth="1"/>
    <col min="13051" max="13052" width="1" style="38" customWidth="1"/>
    <col min="13053" max="13053" width="17.88671875" style="38" customWidth="1"/>
    <col min="13054" max="13057" width="1" style="38" customWidth="1"/>
    <col min="13058" max="13058" width="17.88671875" style="38" customWidth="1"/>
    <col min="13059" max="13062" width="1" style="38" customWidth="1"/>
    <col min="13063" max="13063" width="17.88671875" style="38" customWidth="1"/>
    <col min="13064" max="13065" width="1" style="38" customWidth="1"/>
    <col min="13066" max="13120" width="0" style="38" hidden="1" customWidth="1"/>
    <col min="13121" max="13122" width="1" style="38" customWidth="1"/>
    <col min="13123" max="13123" width="17.88671875" style="38" customWidth="1"/>
    <col min="13124" max="13127" width="1" style="38" customWidth="1"/>
    <col min="13128" max="13128" width="14.44140625" style="38" customWidth="1"/>
    <col min="13129" max="13130" width="1" style="38" customWidth="1"/>
    <col min="13131" max="13131" width="2" style="38" customWidth="1"/>
    <col min="13132" max="13132" width="3.88671875" style="38" customWidth="1"/>
    <col min="13133" max="13133" width="15.6640625" style="38" customWidth="1"/>
    <col min="13134" max="13134" width="13.44140625" style="38" bestFit="1" customWidth="1"/>
    <col min="13135" max="13135" width="13.88671875" style="38" customWidth="1"/>
    <col min="13136" max="13136" width="13.44140625" style="38" bestFit="1" customWidth="1"/>
    <col min="13137" max="13242" width="10" style="38"/>
    <col min="13243" max="13244" width="0" style="38" hidden="1" customWidth="1"/>
    <col min="13245" max="13245" width="1" style="38" customWidth="1"/>
    <col min="13246" max="13246" width="56" style="38" customWidth="1"/>
    <col min="13247" max="13248" width="1" style="38" customWidth="1"/>
    <col min="13249" max="13249" width="14.44140625" style="38" customWidth="1"/>
    <col min="13250" max="13251" width="1" style="38" customWidth="1"/>
    <col min="13252" max="13306" width="0" style="38" hidden="1" customWidth="1"/>
    <col min="13307" max="13308" width="1" style="38" customWidth="1"/>
    <col min="13309" max="13309" width="17.88671875" style="38" customWidth="1"/>
    <col min="13310" max="13313" width="1" style="38" customWidth="1"/>
    <col min="13314" max="13314" width="17.88671875" style="38" customWidth="1"/>
    <col min="13315" max="13318" width="1" style="38" customWidth="1"/>
    <col min="13319" max="13319" width="17.88671875" style="38" customWidth="1"/>
    <col min="13320" max="13321" width="1" style="38" customWidth="1"/>
    <col min="13322" max="13376" width="0" style="38" hidden="1" customWidth="1"/>
    <col min="13377" max="13378" width="1" style="38" customWidth="1"/>
    <col min="13379" max="13379" width="17.88671875" style="38" customWidth="1"/>
    <col min="13380" max="13383" width="1" style="38" customWidth="1"/>
    <col min="13384" max="13384" width="14.44140625" style="38" customWidth="1"/>
    <col min="13385" max="13386" width="1" style="38" customWidth="1"/>
    <col min="13387" max="13387" width="2" style="38" customWidth="1"/>
    <col min="13388" max="13388" width="3.88671875" style="38" customWidth="1"/>
    <col min="13389" max="13389" width="15.6640625" style="38" customWidth="1"/>
    <col min="13390" max="13390" width="13.44140625" style="38" bestFit="1" customWidth="1"/>
    <col min="13391" max="13391" width="13.88671875" style="38" customWidth="1"/>
    <col min="13392" max="13392" width="13.44140625" style="38" bestFit="1" customWidth="1"/>
    <col min="13393" max="13498" width="10" style="38"/>
    <col min="13499" max="13500" width="0" style="38" hidden="1" customWidth="1"/>
    <col min="13501" max="13501" width="1" style="38" customWidth="1"/>
    <col min="13502" max="13502" width="56" style="38" customWidth="1"/>
    <col min="13503" max="13504" width="1" style="38" customWidth="1"/>
    <col min="13505" max="13505" width="14.44140625" style="38" customWidth="1"/>
    <col min="13506" max="13507" width="1" style="38" customWidth="1"/>
    <col min="13508" max="13562" width="0" style="38" hidden="1" customWidth="1"/>
    <col min="13563" max="13564" width="1" style="38" customWidth="1"/>
    <col min="13565" max="13565" width="17.88671875" style="38" customWidth="1"/>
    <col min="13566" max="13569" width="1" style="38" customWidth="1"/>
    <col min="13570" max="13570" width="17.88671875" style="38" customWidth="1"/>
    <col min="13571" max="13574" width="1" style="38" customWidth="1"/>
    <col min="13575" max="13575" width="17.88671875" style="38" customWidth="1"/>
    <col min="13576" max="13577" width="1" style="38" customWidth="1"/>
    <col min="13578" max="13632" width="0" style="38" hidden="1" customWidth="1"/>
    <col min="13633" max="13634" width="1" style="38" customWidth="1"/>
    <col min="13635" max="13635" width="17.88671875" style="38" customWidth="1"/>
    <col min="13636" max="13639" width="1" style="38" customWidth="1"/>
    <col min="13640" max="13640" width="14.44140625" style="38" customWidth="1"/>
    <col min="13641" max="13642" width="1" style="38" customWidth="1"/>
    <col min="13643" max="13643" width="2" style="38" customWidth="1"/>
    <col min="13644" max="13644" width="3.88671875" style="38" customWidth="1"/>
    <col min="13645" max="13645" width="15.6640625" style="38" customWidth="1"/>
    <col min="13646" max="13646" width="13.44140625" style="38" bestFit="1" customWidth="1"/>
    <col min="13647" max="13647" width="13.88671875" style="38" customWidth="1"/>
    <col min="13648" max="13648" width="13.44140625" style="38" bestFit="1" customWidth="1"/>
    <col min="13649" max="13754" width="10" style="38"/>
    <col min="13755" max="13756" width="0" style="38" hidden="1" customWidth="1"/>
    <col min="13757" max="13757" width="1" style="38" customWidth="1"/>
    <col min="13758" max="13758" width="56" style="38" customWidth="1"/>
    <col min="13759" max="13760" width="1" style="38" customWidth="1"/>
    <col min="13761" max="13761" width="14.44140625" style="38" customWidth="1"/>
    <col min="13762" max="13763" width="1" style="38" customWidth="1"/>
    <col min="13764" max="13818" width="0" style="38" hidden="1" customWidth="1"/>
    <col min="13819" max="13820" width="1" style="38" customWidth="1"/>
    <col min="13821" max="13821" width="17.88671875" style="38" customWidth="1"/>
    <col min="13822" max="13825" width="1" style="38" customWidth="1"/>
    <col min="13826" max="13826" width="17.88671875" style="38" customWidth="1"/>
    <col min="13827" max="13830" width="1" style="38" customWidth="1"/>
    <col min="13831" max="13831" width="17.88671875" style="38" customWidth="1"/>
    <col min="13832" max="13833" width="1" style="38" customWidth="1"/>
    <col min="13834" max="13888" width="0" style="38" hidden="1" customWidth="1"/>
    <col min="13889" max="13890" width="1" style="38" customWidth="1"/>
    <col min="13891" max="13891" width="17.88671875" style="38" customWidth="1"/>
    <col min="13892" max="13895" width="1" style="38" customWidth="1"/>
    <col min="13896" max="13896" width="14.44140625" style="38" customWidth="1"/>
    <col min="13897" max="13898" width="1" style="38" customWidth="1"/>
    <col min="13899" max="13899" width="2" style="38" customWidth="1"/>
    <col min="13900" max="13900" width="3.88671875" style="38" customWidth="1"/>
    <col min="13901" max="13901" width="15.6640625" style="38" customWidth="1"/>
    <col min="13902" max="13902" width="13.44140625" style="38" bestFit="1" customWidth="1"/>
    <col min="13903" max="13903" width="13.88671875" style="38" customWidth="1"/>
    <col min="13904" max="13904" width="13.44140625" style="38" bestFit="1" customWidth="1"/>
    <col min="13905" max="14010" width="10" style="38"/>
    <col min="14011" max="14012" width="0" style="38" hidden="1" customWidth="1"/>
    <col min="14013" max="14013" width="1" style="38" customWidth="1"/>
    <col min="14014" max="14014" width="56" style="38" customWidth="1"/>
    <col min="14015" max="14016" width="1" style="38" customWidth="1"/>
    <col min="14017" max="14017" width="14.44140625" style="38" customWidth="1"/>
    <col min="14018" max="14019" width="1" style="38" customWidth="1"/>
    <col min="14020" max="14074" width="0" style="38" hidden="1" customWidth="1"/>
    <col min="14075" max="14076" width="1" style="38" customWidth="1"/>
    <col min="14077" max="14077" width="17.88671875" style="38" customWidth="1"/>
    <col min="14078" max="14081" width="1" style="38" customWidth="1"/>
    <col min="14082" max="14082" width="17.88671875" style="38" customWidth="1"/>
    <col min="14083" max="14086" width="1" style="38" customWidth="1"/>
    <col min="14087" max="14087" width="17.88671875" style="38" customWidth="1"/>
    <col min="14088" max="14089" width="1" style="38" customWidth="1"/>
    <col min="14090" max="14144" width="0" style="38" hidden="1" customWidth="1"/>
    <col min="14145" max="14146" width="1" style="38" customWidth="1"/>
    <col min="14147" max="14147" width="17.88671875" style="38" customWidth="1"/>
    <col min="14148" max="14151" width="1" style="38" customWidth="1"/>
    <col min="14152" max="14152" width="14.44140625" style="38" customWidth="1"/>
    <col min="14153" max="14154" width="1" style="38" customWidth="1"/>
    <col min="14155" max="14155" width="2" style="38" customWidth="1"/>
    <col min="14156" max="14156" width="3.88671875" style="38" customWidth="1"/>
    <col min="14157" max="14157" width="15.6640625" style="38" customWidth="1"/>
    <col min="14158" max="14158" width="13.44140625" style="38" bestFit="1" customWidth="1"/>
    <col min="14159" max="14159" width="13.88671875" style="38" customWidth="1"/>
    <col min="14160" max="14160" width="13.44140625" style="38" bestFit="1" customWidth="1"/>
    <col min="14161" max="14266" width="10" style="38"/>
    <col min="14267" max="14268" width="0" style="38" hidden="1" customWidth="1"/>
    <col min="14269" max="14269" width="1" style="38" customWidth="1"/>
    <col min="14270" max="14270" width="56" style="38" customWidth="1"/>
    <col min="14271" max="14272" width="1" style="38" customWidth="1"/>
    <col min="14273" max="14273" width="14.44140625" style="38" customWidth="1"/>
    <col min="14274" max="14275" width="1" style="38" customWidth="1"/>
    <col min="14276" max="14330" width="0" style="38" hidden="1" customWidth="1"/>
    <col min="14331" max="14332" width="1" style="38" customWidth="1"/>
    <col min="14333" max="14333" width="17.88671875" style="38" customWidth="1"/>
    <col min="14334" max="14337" width="1" style="38" customWidth="1"/>
    <col min="14338" max="14338" width="17.88671875" style="38" customWidth="1"/>
    <col min="14339" max="14342" width="1" style="38" customWidth="1"/>
    <col min="14343" max="14343" width="17.88671875" style="38" customWidth="1"/>
    <col min="14344" max="14345" width="1" style="38" customWidth="1"/>
    <col min="14346" max="14400" width="0" style="38" hidden="1" customWidth="1"/>
    <col min="14401" max="14402" width="1" style="38" customWidth="1"/>
    <col min="14403" max="14403" width="17.88671875" style="38" customWidth="1"/>
    <col min="14404" max="14407" width="1" style="38" customWidth="1"/>
    <col min="14408" max="14408" width="14.44140625" style="38" customWidth="1"/>
    <col min="14409" max="14410" width="1" style="38" customWidth="1"/>
    <col min="14411" max="14411" width="2" style="38" customWidth="1"/>
    <col min="14412" max="14412" width="3.88671875" style="38" customWidth="1"/>
    <col min="14413" max="14413" width="15.6640625" style="38" customWidth="1"/>
    <col min="14414" max="14414" width="13.44140625" style="38" bestFit="1" customWidth="1"/>
    <col min="14415" max="14415" width="13.88671875" style="38" customWidth="1"/>
    <col min="14416" max="14416" width="13.44140625" style="38" bestFit="1" customWidth="1"/>
    <col min="14417" max="14522" width="10" style="38"/>
    <col min="14523" max="14524" width="0" style="38" hidden="1" customWidth="1"/>
    <col min="14525" max="14525" width="1" style="38" customWidth="1"/>
    <col min="14526" max="14526" width="56" style="38" customWidth="1"/>
    <col min="14527" max="14528" width="1" style="38" customWidth="1"/>
    <col min="14529" max="14529" width="14.44140625" style="38" customWidth="1"/>
    <col min="14530" max="14531" width="1" style="38" customWidth="1"/>
    <col min="14532" max="14586" width="0" style="38" hidden="1" customWidth="1"/>
    <col min="14587" max="14588" width="1" style="38" customWidth="1"/>
    <col min="14589" max="14589" width="17.88671875" style="38" customWidth="1"/>
    <col min="14590" max="14593" width="1" style="38" customWidth="1"/>
    <col min="14594" max="14594" width="17.88671875" style="38" customWidth="1"/>
    <col min="14595" max="14598" width="1" style="38" customWidth="1"/>
    <col min="14599" max="14599" width="17.88671875" style="38" customWidth="1"/>
    <col min="14600" max="14601" width="1" style="38" customWidth="1"/>
    <col min="14602" max="14656" width="0" style="38" hidden="1" customWidth="1"/>
    <col min="14657" max="14658" width="1" style="38" customWidth="1"/>
    <col min="14659" max="14659" width="17.88671875" style="38" customWidth="1"/>
    <col min="14660" max="14663" width="1" style="38" customWidth="1"/>
    <col min="14664" max="14664" width="14.44140625" style="38" customWidth="1"/>
    <col min="14665" max="14666" width="1" style="38" customWidth="1"/>
    <col min="14667" max="14667" width="2" style="38" customWidth="1"/>
    <col min="14668" max="14668" width="3.88671875" style="38" customWidth="1"/>
    <col min="14669" max="14669" width="15.6640625" style="38" customWidth="1"/>
    <col min="14670" max="14670" width="13.44140625" style="38" bestFit="1" customWidth="1"/>
    <col min="14671" max="14671" width="13.88671875" style="38" customWidth="1"/>
    <col min="14672" max="14672" width="13.44140625" style="38" bestFit="1" customWidth="1"/>
    <col min="14673" max="14778" width="10" style="38"/>
    <col min="14779" max="14780" width="0" style="38" hidden="1" customWidth="1"/>
    <col min="14781" max="14781" width="1" style="38" customWidth="1"/>
    <col min="14782" max="14782" width="56" style="38" customWidth="1"/>
    <col min="14783" max="14784" width="1" style="38" customWidth="1"/>
    <col min="14785" max="14785" width="14.44140625" style="38" customWidth="1"/>
    <col min="14786" max="14787" width="1" style="38" customWidth="1"/>
    <col min="14788" max="14842" width="0" style="38" hidden="1" customWidth="1"/>
    <col min="14843" max="14844" width="1" style="38" customWidth="1"/>
    <col min="14845" max="14845" width="17.88671875" style="38" customWidth="1"/>
    <col min="14846" max="14849" width="1" style="38" customWidth="1"/>
    <col min="14850" max="14850" width="17.88671875" style="38" customWidth="1"/>
    <col min="14851" max="14854" width="1" style="38" customWidth="1"/>
    <col min="14855" max="14855" width="17.88671875" style="38" customWidth="1"/>
    <col min="14856" max="14857" width="1" style="38" customWidth="1"/>
    <col min="14858" max="14912" width="0" style="38" hidden="1" customWidth="1"/>
    <col min="14913" max="14914" width="1" style="38" customWidth="1"/>
    <col min="14915" max="14915" width="17.88671875" style="38" customWidth="1"/>
    <col min="14916" max="14919" width="1" style="38" customWidth="1"/>
    <col min="14920" max="14920" width="14.44140625" style="38" customWidth="1"/>
    <col min="14921" max="14922" width="1" style="38" customWidth="1"/>
    <col min="14923" max="14923" width="2" style="38" customWidth="1"/>
    <col min="14924" max="14924" width="3.88671875" style="38" customWidth="1"/>
    <col min="14925" max="14925" width="15.6640625" style="38" customWidth="1"/>
    <col min="14926" max="14926" width="13.44140625" style="38" bestFit="1" customWidth="1"/>
    <col min="14927" max="14927" width="13.88671875" style="38" customWidth="1"/>
    <col min="14928" max="14928" width="13.44140625" style="38" bestFit="1" customWidth="1"/>
    <col min="14929" max="15034" width="10" style="38"/>
    <col min="15035" max="15036" width="0" style="38" hidden="1" customWidth="1"/>
    <col min="15037" max="15037" width="1" style="38" customWidth="1"/>
    <col min="15038" max="15038" width="56" style="38" customWidth="1"/>
    <col min="15039" max="15040" width="1" style="38" customWidth="1"/>
    <col min="15041" max="15041" width="14.44140625" style="38" customWidth="1"/>
    <col min="15042" max="15043" width="1" style="38" customWidth="1"/>
    <col min="15044" max="15098" width="0" style="38" hidden="1" customWidth="1"/>
    <col min="15099" max="15100" width="1" style="38" customWidth="1"/>
    <col min="15101" max="15101" width="17.88671875" style="38" customWidth="1"/>
    <col min="15102" max="15105" width="1" style="38" customWidth="1"/>
    <col min="15106" max="15106" width="17.88671875" style="38" customWidth="1"/>
    <col min="15107" max="15110" width="1" style="38" customWidth="1"/>
    <col min="15111" max="15111" width="17.88671875" style="38" customWidth="1"/>
    <col min="15112" max="15113" width="1" style="38" customWidth="1"/>
    <col min="15114" max="15168" width="0" style="38" hidden="1" customWidth="1"/>
    <col min="15169" max="15170" width="1" style="38" customWidth="1"/>
    <col min="15171" max="15171" width="17.88671875" style="38" customWidth="1"/>
    <col min="15172" max="15175" width="1" style="38" customWidth="1"/>
    <col min="15176" max="15176" width="14.44140625" style="38" customWidth="1"/>
    <col min="15177" max="15178" width="1" style="38" customWidth="1"/>
    <col min="15179" max="15179" width="2" style="38" customWidth="1"/>
    <col min="15180" max="15180" width="3.88671875" style="38" customWidth="1"/>
    <col min="15181" max="15181" width="15.6640625" style="38" customWidth="1"/>
    <col min="15182" max="15182" width="13.44140625" style="38" bestFit="1" customWidth="1"/>
    <col min="15183" max="15183" width="13.88671875" style="38" customWidth="1"/>
    <col min="15184" max="15184" width="13.44140625" style="38" bestFit="1" customWidth="1"/>
    <col min="15185" max="15290" width="10" style="38"/>
    <col min="15291" max="15292" width="0" style="38" hidden="1" customWidth="1"/>
    <col min="15293" max="15293" width="1" style="38" customWidth="1"/>
    <col min="15294" max="15294" width="56" style="38" customWidth="1"/>
    <col min="15295" max="15296" width="1" style="38" customWidth="1"/>
    <col min="15297" max="15297" width="14.44140625" style="38" customWidth="1"/>
    <col min="15298" max="15299" width="1" style="38" customWidth="1"/>
    <col min="15300" max="15354" width="0" style="38" hidden="1" customWidth="1"/>
    <col min="15355" max="15356" width="1" style="38" customWidth="1"/>
    <col min="15357" max="15357" width="17.88671875" style="38" customWidth="1"/>
    <col min="15358" max="15361" width="1" style="38" customWidth="1"/>
    <col min="15362" max="15362" width="17.88671875" style="38" customWidth="1"/>
    <col min="15363" max="15366" width="1" style="38" customWidth="1"/>
    <col min="15367" max="15367" width="17.88671875" style="38" customWidth="1"/>
    <col min="15368" max="15369" width="1" style="38" customWidth="1"/>
    <col min="15370" max="15424" width="0" style="38" hidden="1" customWidth="1"/>
    <col min="15425" max="15426" width="1" style="38" customWidth="1"/>
    <col min="15427" max="15427" width="17.88671875" style="38" customWidth="1"/>
    <col min="15428" max="15431" width="1" style="38" customWidth="1"/>
    <col min="15432" max="15432" width="14.44140625" style="38" customWidth="1"/>
    <col min="15433" max="15434" width="1" style="38" customWidth="1"/>
    <col min="15435" max="15435" width="2" style="38" customWidth="1"/>
    <col min="15436" max="15436" width="3.88671875" style="38" customWidth="1"/>
    <col min="15437" max="15437" width="15.6640625" style="38" customWidth="1"/>
    <col min="15438" max="15438" width="13.44140625" style="38" bestFit="1" customWidth="1"/>
    <col min="15439" max="15439" width="13.88671875" style="38" customWidth="1"/>
    <col min="15440" max="15440" width="13.44140625" style="38" bestFit="1" customWidth="1"/>
    <col min="15441" max="15546" width="10" style="38"/>
    <col min="15547" max="15548" width="0" style="38" hidden="1" customWidth="1"/>
    <col min="15549" max="15549" width="1" style="38" customWidth="1"/>
    <col min="15550" max="15550" width="56" style="38" customWidth="1"/>
    <col min="15551" max="15552" width="1" style="38" customWidth="1"/>
    <col min="15553" max="15553" width="14.44140625" style="38" customWidth="1"/>
    <col min="15554" max="15555" width="1" style="38" customWidth="1"/>
    <col min="15556" max="15610" width="0" style="38" hidden="1" customWidth="1"/>
    <col min="15611" max="15612" width="1" style="38" customWidth="1"/>
    <col min="15613" max="15613" width="17.88671875" style="38" customWidth="1"/>
    <col min="15614" max="15617" width="1" style="38" customWidth="1"/>
    <col min="15618" max="15618" width="17.88671875" style="38" customWidth="1"/>
    <col min="15619" max="15622" width="1" style="38" customWidth="1"/>
    <col min="15623" max="15623" width="17.88671875" style="38" customWidth="1"/>
    <col min="15624" max="15625" width="1" style="38" customWidth="1"/>
    <col min="15626" max="15680" width="0" style="38" hidden="1" customWidth="1"/>
    <col min="15681" max="15682" width="1" style="38" customWidth="1"/>
    <col min="15683" max="15683" width="17.88671875" style="38" customWidth="1"/>
    <col min="15684" max="15687" width="1" style="38" customWidth="1"/>
    <col min="15688" max="15688" width="14.44140625" style="38" customWidth="1"/>
    <col min="15689" max="15690" width="1" style="38" customWidth="1"/>
    <col min="15691" max="15691" width="2" style="38" customWidth="1"/>
    <col min="15692" max="15692" width="3.88671875" style="38" customWidth="1"/>
    <col min="15693" max="15693" width="15.6640625" style="38" customWidth="1"/>
    <col min="15694" max="15694" width="13.44140625" style="38" bestFit="1" customWidth="1"/>
    <col min="15695" max="15695" width="13.88671875" style="38" customWidth="1"/>
    <col min="15696" max="15696" width="13.44140625" style="38" bestFit="1" customWidth="1"/>
    <col min="15697" max="15802" width="10" style="38"/>
    <col min="15803" max="15804" width="0" style="38" hidden="1" customWidth="1"/>
    <col min="15805" max="15805" width="1" style="38" customWidth="1"/>
    <col min="15806" max="15806" width="56" style="38" customWidth="1"/>
    <col min="15807" max="15808" width="1" style="38" customWidth="1"/>
    <col min="15809" max="15809" width="14.44140625" style="38" customWidth="1"/>
    <col min="15810" max="15811" width="1" style="38" customWidth="1"/>
    <col min="15812" max="15866" width="0" style="38" hidden="1" customWidth="1"/>
    <col min="15867" max="15868" width="1" style="38" customWidth="1"/>
    <col min="15869" max="15869" width="17.88671875" style="38" customWidth="1"/>
    <col min="15870" max="15873" width="1" style="38" customWidth="1"/>
    <col min="15874" max="15874" width="17.88671875" style="38" customWidth="1"/>
    <col min="15875" max="15878" width="1" style="38" customWidth="1"/>
    <col min="15879" max="15879" width="17.88671875" style="38" customWidth="1"/>
    <col min="15880" max="15881" width="1" style="38" customWidth="1"/>
    <col min="15882" max="15936" width="0" style="38" hidden="1" customWidth="1"/>
    <col min="15937" max="15938" width="1" style="38" customWidth="1"/>
    <col min="15939" max="15939" width="17.88671875" style="38" customWidth="1"/>
    <col min="15940" max="15943" width="1" style="38" customWidth="1"/>
    <col min="15944" max="15944" width="14.44140625" style="38" customWidth="1"/>
    <col min="15945" max="15946" width="1" style="38" customWidth="1"/>
    <col min="15947" max="15947" width="2" style="38" customWidth="1"/>
    <col min="15948" max="15948" width="3.88671875" style="38" customWidth="1"/>
    <col min="15949" max="15949" width="15.6640625" style="38" customWidth="1"/>
    <col min="15950" max="15950" width="13.44140625" style="38" bestFit="1" customWidth="1"/>
    <col min="15951" max="15951" width="13.88671875" style="38" customWidth="1"/>
    <col min="15952" max="15952" width="13.44140625" style="38" bestFit="1" customWidth="1"/>
    <col min="15953" max="16058" width="10" style="38"/>
    <col min="16059" max="16060" width="0" style="38" hidden="1" customWidth="1"/>
    <col min="16061" max="16061" width="1" style="38" customWidth="1"/>
    <col min="16062" max="16062" width="56" style="38" customWidth="1"/>
    <col min="16063" max="16064" width="1" style="38" customWidth="1"/>
    <col min="16065" max="16065" width="14.44140625" style="38" customWidth="1"/>
    <col min="16066" max="16067" width="1" style="38" customWidth="1"/>
    <col min="16068" max="16122" width="0" style="38" hidden="1" customWidth="1"/>
    <col min="16123" max="16124" width="1" style="38" customWidth="1"/>
    <col min="16125" max="16125" width="17.88671875" style="38" customWidth="1"/>
    <col min="16126" max="16129" width="1" style="38" customWidth="1"/>
    <col min="16130" max="16130" width="17.88671875" style="38" customWidth="1"/>
    <col min="16131" max="16134" width="1" style="38" customWidth="1"/>
    <col min="16135" max="16135" width="17.88671875" style="38" customWidth="1"/>
    <col min="16136" max="16137" width="1" style="38" customWidth="1"/>
    <col min="16138" max="16192" width="0" style="38" hidden="1" customWidth="1"/>
    <col min="16193" max="16194" width="1" style="38" customWidth="1"/>
    <col min="16195" max="16195" width="17.88671875" style="38" customWidth="1"/>
    <col min="16196" max="16199" width="1" style="38" customWidth="1"/>
    <col min="16200" max="16200" width="14.44140625" style="38" customWidth="1"/>
    <col min="16201" max="16202" width="1" style="38" customWidth="1"/>
    <col min="16203" max="16203" width="2" style="38" customWidth="1"/>
    <col min="16204" max="16204" width="3.88671875" style="38" customWidth="1"/>
    <col min="16205" max="16205" width="15.6640625" style="38" customWidth="1"/>
    <col min="16206" max="16206" width="13.44140625" style="38" bestFit="1" customWidth="1"/>
    <col min="16207" max="16207" width="13.88671875" style="38" customWidth="1"/>
    <col min="16208" max="16208" width="13.44140625" style="38" bestFit="1" customWidth="1"/>
    <col min="16209" max="16384" width="10" style="38"/>
  </cols>
  <sheetData>
    <row r="1" spans="1:79" ht="12.75" x14ac:dyDescent="0.2">
      <c r="B1" s="388"/>
      <c r="C1" s="388"/>
      <c r="D1" s="388"/>
      <c r="E1" s="388"/>
      <c r="F1" s="388"/>
      <c r="G1" s="388"/>
      <c r="H1" s="388"/>
      <c r="I1" s="388"/>
      <c r="J1" s="388"/>
      <c r="K1" s="388"/>
      <c r="L1" s="388"/>
      <c r="M1" s="388">
        <f>1770000000+11234076861+1105000000</f>
        <v>14109076861</v>
      </c>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row>
    <row r="2" spans="1:79" ht="5.25" customHeight="1"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row>
    <row r="3" spans="1:79" ht="12.75" x14ac:dyDescent="0.2">
      <c r="A3" s="388"/>
      <c r="B3" s="388"/>
      <c r="D3" s="388"/>
      <c r="E3" s="38"/>
      <c r="BW3" s="388"/>
    </row>
    <row r="4" spans="1:79" ht="12.75" x14ac:dyDescent="0.2">
      <c r="A4" s="388"/>
      <c r="B4" s="388"/>
      <c r="D4" s="411"/>
      <c r="E4" s="411"/>
      <c r="F4" s="411"/>
      <c r="BW4" s="388"/>
    </row>
    <row r="5" spans="1:79" ht="12.75" x14ac:dyDescent="0.2">
      <c r="A5" s="388"/>
      <c r="B5" s="388"/>
      <c r="E5" s="38"/>
      <c r="BW5" s="388"/>
    </row>
    <row r="6" spans="1:79" ht="12.75" x14ac:dyDescent="0.2">
      <c r="A6" s="388"/>
      <c r="B6" s="388"/>
      <c r="E6" s="38">
        <v>0</v>
      </c>
      <c r="BW6" s="388"/>
    </row>
    <row r="7" spans="1:79" ht="15.75" x14ac:dyDescent="0.25">
      <c r="A7" s="388"/>
      <c r="B7" s="388"/>
      <c r="D7" s="462" t="s">
        <v>362</v>
      </c>
      <c r="E7" s="462">
        <v>0</v>
      </c>
      <c r="F7" s="462"/>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88"/>
    </row>
    <row r="8" spans="1:79" ht="15" customHeight="1" x14ac:dyDescent="0.2">
      <c r="A8" s="388"/>
      <c r="B8" s="388"/>
      <c r="D8" s="405"/>
      <c r="E8" s="463">
        <v>0</v>
      </c>
      <c r="F8" s="464"/>
      <c r="G8" s="397" t="str">
        <f>[39]summary!H8</f>
        <v>2020/21</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465"/>
      <c r="BV8" s="465"/>
      <c r="BW8" s="398"/>
    </row>
    <row r="9" spans="1:79" ht="18" customHeight="1" x14ac:dyDescent="0.2">
      <c r="A9" s="388"/>
      <c r="B9" s="388"/>
      <c r="D9" s="398"/>
      <c r="E9" s="404">
        <v>0</v>
      </c>
      <c r="F9" s="388"/>
      <c r="G9" s="119" t="str">
        <f>[39]summary!H9</f>
        <v>Revised</v>
      </c>
      <c r="H9" s="119"/>
      <c r="I9" s="119"/>
      <c r="J9" s="134"/>
      <c r="K9" s="119"/>
      <c r="L9" s="119" t="s">
        <v>5</v>
      </c>
      <c r="M9" s="119"/>
      <c r="N9" s="119"/>
      <c r="O9" s="134"/>
      <c r="P9" s="119"/>
      <c r="Q9" s="119" t="s">
        <v>6</v>
      </c>
      <c r="R9" s="119"/>
      <c r="S9" s="119"/>
      <c r="T9" s="134"/>
      <c r="U9" s="119"/>
      <c r="V9" s="119" t="s">
        <v>7</v>
      </c>
      <c r="W9" s="119"/>
      <c r="X9" s="119"/>
      <c r="Y9" s="134"/>
      <c r="Z9" s="119"/>
      <c r="AA9" s="119" t="s">
        <v>8</v>
      </c>
      <c r="AB9" s="119"/>
      <c r="AC9" s="119"/>
      <c r="AD9" s="134"/>
      <c r="AE9" s="119"/>
      <c r="AF9" s="119" t="s">
        <v>9</v>
      </c>
      <c r="AG9" s="119"/>
      <c r="AH9" s="119"/>
      <c r="AI9" s="134"/>
      <c r="AJ9" s="119"/>
      <c r="AK9" s="119" t="s">
        <v>10</v>
      </c>
      <c r="AL9" s="119"/>
      <c r="AM9" s="119"/>
      <c r="AN9" s="134"/>
      <c r="AO9" s="119"/>
      <c r="AP9" s="119" t="s">
        <v>11</v>
      </c>
      <c r="AQ9" s="119"/>
      <c r="AR9" s="119"/>
      <c r="AS9" s="134"/>
      <c r="AT9" s="119"/>
      <c r="AU9" s="119" t="s">
        <v>12</v>
      </c>
      <c r="AV9" s="119"/>
      <c r="AW9" s="119"/>
      <c r="AX9" s="134"/>
      <c r="AY9" s="119"/>
      <c r="AZ9" s="119" t="s">
        <v>13</v>
      </c>
      <c r="BA9" s="119"/>
      <c r="BB9" s="119"/>
      <c r="BC9" s="134"/>
      <c r="BD9" s="119"/>
      <c r="BE9" s="119" t="s">
        <v>14</v>
      </c>
      <c r="BF9" s="119"/>
      <c r="BG9" s="119"/>
      <c r="BH9" s="134"/>
      <c r="BI9" s="119"/>
      <c r="BJ9" s="119" t="s">
        <v>15</v>
      </c>
      <c r="BK9" s="119"/>
      <c r="BL9" s="119"/>
      <c r="BM9" s="134"/>
      <c r="BN9" s="119"/>
      <c r="BO9" s="119" t="s">
        <v>16</v>
      </c>
      <c r="BP9" s="119"/>
      <c r="BQ9" s="119"/>
      <c r="BR9" s="134"/>
      <c r="BS9" s="119"/>
      <c r="BT9" s="119" t="s">
        <v>17</v>
      </c>
      <c r="BU9" s="119"/>
      <c r="BV9" s="119"/>
      <c r="BW9" s="398"/>
    </row>
    <row r="10" spans="1:79" ht="12.75" x14ac:dyDescent="0.2">
      <c r="A10" s="388"/>
      <c r="B10" s="388"/>
      <c r="D10" s="399" t="s">
        <v>18</v>
      </c>
      <c r="E10" s="467">
        <v>0</v>
      </c>
      <c r="F10" s="468"/>
      <c r="G10" s="402" t="s">
        <v>20</v>
      </c>
      <c r="H10" s="402"/>
      <c r="I10" s="402"/>
      <c r="J10" s="401"/>
      <c r="K10" s="402"/>
      <c r="L10" s="400"/>
      <c r="M10" s="400"/>
      <c r="N10" s="400"/>
      <c r="O10" s="469"/>
      <c r="P10" s="400"/>
      <c r="Q10" s="400"/>
      <c r="R10" s="400"/>
      <c r="S10" s="400"/>
      <c r="T10" s="469"/>
      <c r="U10" s="400"/>
      <c r="V10" s="400"/>
      <c r="W10" s="400"/>
      <c r="X10" s="400"/>
      <c r="Y10" s="469"/>
      <c r="Z10" s="400"/>
      <c r="AA10" s="400"/>
      <c r="AB10" s="400"/>
      <c r="AC10" s="400"/>
      <c r="AD10" s="469"/>
      <c r="AE10" s="400"/>
      <c r="AF10" s="400"/>
      <c r="AG10" s="400"/>
      <c r="AH10" s="400"/>
      <c r="AI10" s="469"/>
      <c r="AJ10" s="400"/>
      <c r="AK10" s="400"/>
      <c r="AL10" s="400"/>
      <c r="AM10" s="400"/>
      <c r="AN10" s="469"/>
      <c r="AO10" s="400"/>
      <c r="AP10" s="400"/>
      <c r="AQ10" s="400"/>
      <c r="AR10" s="400"/>
      <c r="AS10" s="469"/>
      <c r="AT10" s="400"/>
      <c r="AU10" s="400"/>
      <c r="AV10" s="400"/>
      <c r="AW10" s="400"/>
      <c r="AX10" s="469"/>
      <c r="AY10" s="400"/>
      <c r="AZ10" s="400"/>
      <c r="BA10" s="400"/>
      <c r="BB10" s="400"/>
      <c r="BC10" s="469"/>
      <c r="BD10" s="400"/>
      <c r="BE10" s="400"/>
      <c r="BF10" s="400"/>
      <c r="BG10" s="400"/>
      <c r="BH10" s="469"/>
      <c r="BI10" s="400"/>
      <c r="BJ10" s="400"/>
      <c r="BK10" s="400"/>
      <c r="BL10" s="400"/>
      <c r="BM10" s="469"/>
      <c r="BN10" s="400"/>
      <c r="BO10" s="400"/>
      <c r="BP10" s="400"/>
      <c r="BQ10" s="400"/>
      <c r="BR10" s="469"/>
      <c r="BS10" s="400"/>
      <c r="BT10" s="400"/>
      <c r="BU10" s="119"/>
      <c r="BV10" s="119"/>
      <c r="BW10" s="398"/>
    </row>
    <row r="11" spans="1:79" ht="12.75" x14ac:dyDescent="0.2">
      <c r="A11" s="388"/>
      <c r="B11" s="388"/>
      <c r="D11" s="470"/>
      <c r="E11" s="435"/>
      <c r="F11" s="471"/>
      <c r="G11" s="471"/>
      <c r="H11" s="471"/>
      <c r="I11" s="471"/>
      <c r="J11" s="435"/>
      <c r="K11" s="471"/>
      <c r="L11" s="471"/>
      <c r="M11" s="471"/>
      <c r="N11" s="471"/>
      <c r="O11" s="435"/>
      <c r="P11" s="471"/>
      <c r="Q11" s="471"/>
      <c r="R11" s="471"/>
      <c r="S11" s="471"/>
      <c r="T11" s="435"/>
      <c r="U11" s="471"/>
      <c r="V11" s="471"/>
      <c r="W11" s="471"/>
      <c r="X11" s="471"/>
      <c r="Y11" s="435"/>
      <c r="Z11" s="471"/>
      <c r="AA11" s="471"/>
      <c r="AB11" s="471"/>
      <c r="AC11" s="471"/>
      <c r="AD11" s="435"/>
      <c r="AE11" s="471"/>
      <c r="AF11" s="471"/>
      <c r="AG11" s="471"/>
      <c r="AH11" s="471"/>
      <c r="AI11" s="435"/>
      <c r="AJ11" s="471"/>
      <c r="AK11" s="471"/>
      <c r="AL11" s="471"/>
      <c r="AM11" s="471"/>
      <c r="AN11" s="435"/>
      <c r="AO11" s="471"/>
      <c r="AP11" s="471"/>
      <c r="AQ11" s="471"/>
      <c r="AR11" s="471"/>
      <c r="AS11" s="435"/>
      <c r="AT11" s="471"/>
      <c r="AU11" s="471"/>
      <c r="AV11" s="471"/>
      <c r="AW11" s="471"/>
      <c r="AX11" s="435"/>
      <c r="AY11" s="471"/>
      <c r="AZ11" s="471"/>
      <c r="BA11" s="471"/>
      <c r="BB11" s="471"/>
      <c r="BC11" s="435"/>
      <c r="BD11" s="471"/>
      <c r="BE11" s="471"/>
      <c r="BF11" s="471"/>
      <c r="BG11" s="471"/>
      <c r="BH11" s="435"/>
      <c r="BI11" s="471"/>
      <c r="BJ11" s="471"/>
      <c r="BK11" s="471"/>
      <c r="BL11" s="432"/>
      <c r="BM11" s="435"/>
      <c r="BN11" s="471"/>
      <c r="BO11" s="471"/>
      <c r="BP11" s="471"/>
      <c r="BQ11" s="471"/>
      <c r="BR11" s="435"/>
      <c r="BS11" s="432"/>
      <c r="BT11" s="413"/>
      <c r="BU11" s="413"/>
      <c r="BV11" s="413"/>
      <c r="BW11" s="398"/>
    </row>
    <row r="12" spans="1:79" s="411" customFormat="1" ht="12.75" x14ac:dyDescent="0.2">
      <c r="A12" s="389"/>
      <c r="B12" s="389"/>
      <c r="D12" s="405" t="s">
        <v>363</v>
      </c>
      <c r="E12" s="407"/>
      <c r="F12" s="389"/>
      <c r="G12" s="472">
        <f>SUM(G13:G16)</f>
        <v>597295196</v>
      </c>
      <c r="H12" s="434"/>
      <c r="I12" s="434"/>
      <c r="J12" s="433"/>
      <c r="K12" s="434"/>
      <c r="L12" s="434">
        <f>SUM(L13:L16)</f>
        <v>38837955</v>
      </c>
      <c r="M12" s="434"/>
      <c r="N12" s="434"/>
      <c r="O12" s="433"/>
      <c r="P12" s="434"/>
      <c r="Q12" s="434">
        <f>SUM(Q13:Q16)</f>
        <v>45060969.743999995</v>
      </c>
      <c r="R12" s="434"/>
      <c r="S12" s="434"/>
      <c r="T12" s="433"/>
      <c r="U12" s="434"/>
      <c r="V12" s="434">
        <f>SUM(V13:V16)</f>
        <v>49629337</v>
      </c>
      <c r="W12" s="434"/>
      <c r="X12" s="434"/>
      <c r="Y12" s="433"/>
      <c r="Z12" s="434"/>
      <c r="AA12" s="434">
        <f>SUM(AA13:AA16)</f>
        <v>69933031</v>
      </c>
      <c r="AB12" s="434"/>
      <c r="AC12" s="434"/>
      <c r="AD12" s="433"/>
      <c r="AE12" s="434"/>
      <c r="AF12" s="434">
        <f>SUM(AF13:AF16)</f>
        <v>44360549</v>
      </c>
      <c r="AG12" s="434"/>
      <c r="AH12" s="434"/>
      <c r="AI12" s="433"/>
      <c r="AJ12" s="434"/>
      <c r="AK12" s="434">
        <f>SUM(AK13:AK16)</f>
        <v>61505395</v>
      </c>
      <c r="AL12" s="434"/>
      <c r="AM12" s="434"/>
      <c r="AN12" s="433"/>
      <c r="AO12" s="434"/>
      <c r="AP12" s="434">
        <f>SUM(AP13:AP16)</f>
        <v>59931421</v>
      </c>
      <c r="AQ12" s="434"/>
      <c r="AR12" s="434"/>
      <c r="AS12" s="433"/>
      <c r="AT12" s="434"/>
      <c r="AU12" s="434">
        <f>SUM(AU13:AU16)</f>
        <v>46720787</v>
      </c>
      <c r="AV12" s="434"/>
      <c r="AW12" s="434"/>
      <c r="AX12" s="433"/>
      <c r="AY12" s="434"/>
      <c r="AZ12" s="434">
        <f>SUM(AZ13:AZ16)</f>
        <v>52395859</v>
      </c>
      <c r="BA12" s="434"/>
      <c r="BB12" s="434"/>
      <c r="BC12" s="433"/>
      <c r="BD12" s="434"/>
      <c r="BE12" s="434">
        <f>SUM(BE13:BE16)</f>
        <v>39193318</v>
      </c>
      <c r="BF12" s="434"/>
      <c r="BG12" s="434"/>
      <c r="BH12" s="433"/>
      <c r="BI12" s="434"/>
      <c r="BJ12" s="434">
        <f>SUM(BJ13:BJ16)</f>
        <v>58255911</v>
      </c>
      <c r="BK12" s="434"/>
      <c r="BL12" s="434"/>
      <c r="BM12" s="433"/>
      <c r="BN12" s="434"/>
      <c r="BO12" s="434">
        <f>SUM(BO13:BO16)</f>
        <v>51412528</v>
      </c>
      <c r="BP12" s="434"/>
      <c r="BQ12" s="434"/>
      <c r="BR12" s="433"/>
      <c r="BS12" s="434"/>
      <c r="BT12" s="434">
        <f>SUM(BT13:BT16)</f>
        <v>617237060.74399996</v>
      </c>
      <c r="BU12" s="434"/>
      <c r="BV12" s="434"/>
      <c r="BW12" s="405"/>
    </row>
    <row r="13" spans="1:79" ht="12.75" x14ac:dyDescent="0.2">
      <c r="A13" s="388"/>
      <c r="B13" s="388"/>
      <c r="D13" s="398" t="s">
        <v>364</v>
      </c>
      <c r="F13" s="412"/>
      <c r="G13" s="473">
        <f>+G18</f>
        <v>591023575</v>
      </c>
      <c r="H13" s="474"/>
      <c r="I13" s="432"/>
      <c r="J13" s="431"/>
      <c r="K13" s="435"/>
      <c r="L13" s="471">
        <f>+L18</f>
        <v>38350619</v>
      </c>
      <c r="M13" s="474"/>
      <c r="N13" s="432"/>
      <c r="O13" s="431"/>
      <c r="P13" s="435"/>
      <c r="Q13" s="471">
        <f>+Q18</f>
        <v>45031287.743999995</v>
      </c>
      <c r="R13" s="474"/>
      <c r="S13" s="432"/>
      <c r="T13" s="431"/>
      <c r="U13" s="435"/>
      <c r="V13" s="471">
        <f>+V18</f>
        <v>49600848</v>
      </c>
      <c r="W13" s="474"/>
      <c r="X13" s="432"/>
      <c r="Y13" s="431"/>
      <c r="Z13" s="435"/>
      <c r="AA13" s="471">
        <f>+AA18</f>
        <v>69933031</v>
      </c>
      <c r="AB13" s="474"/>
      <c r="AC13" s="432"/>
      <c r="AD13" s="431"/>
      <c r="AE13" s="435"/>
      <c r="AF13" s="471">
        <f>+AF18</f>
        <v>44319358</v>
      </c>
      <c r="AG13" s="474"/>
      <c r="AH13" s="432"/>
      <c r="AI13" s="431"/>
      <c r="AJ13" s="435"/>
      <c r="AK13" s="471">
        <f>+AK18</f>
        <v>61486843</v>
      </c>
      <c r="AL13" s="474"/>
      <c r="AM13" s="432"/>
      <c r="AN13" s="431"/>
      <c r="AO13" s="435"/>
      <c r="AP13" s="471">
        <f>+AP18</f>
        <v>59931421</v>
      </c>
      <c r="AQ13" s="474"/>
      <c r="AR13" s="432"/>
      <c r="AS13" s="431"/>
      <c r="AT13" s="435"/>
      <c r="AU13" s="471">
        <f>+AU18</f>
        <v>46634910</v>
      </c>
      <c r="AV13" s="474"/>
      <c r="AW13" s="432"/>
      <c r="AX13" s="431"/>
      <c r="AY13" s="435"/>
      <c r="AZ13" s="471">
        <f>+AZ18</f>
        <v>52191398</v>
      </c>
      <c r="BA13" s="474"/>
      <c r="BB13" s="432"/>
      <c r="BC13" s="431"/>
      <c r="BD13" s="435"/>
      <c r="BE13" s="471">
        <f>+BE18</f>
        <v>39060638</v>
      </c>
      <c r="BF13" s="474"/>
      <c r="BG13" s="432"/>
      <c r="BH13" s="431"/>
      <c r="BI13" s="435"/>
      <c r="BJ13" s="471">
        <f>+BJ18</f>
        <v>49399464</v>
      </c>
      <c r="BK13" s="474"/>
      <c r="BL13" s="432"/>
      <c r="BM13" s="431"/>
      <c r="BN13" s="435"/>
      <c r="BO13" s="471">
        <f>+BO18</f>
        <v>48828037</v>
      </c>
      <c r="BP13" s="474"/>
      <c r="BQ13" s="432"/>
      <c r="BR13" s="431"/>
      <c r="BS13" s="435"/>
      <c r="BT13" s="471">
        <f>+BT18</f>
        <v>604767854.74399996</v>
      </c>
      <c r="BU13" s="474"/>
      <c r="BV13" s="432"/>
      <c r="BW13" s="398"/>
      <c r="BZ13" s="411"/>
      <c r="CA13" s="411"/>
    </row>
    <row r="14" spans="1:79" ht="12.75" x14ac:dyDescent="0.2">
      <c r="A14" s="388"/>
      <c r="B14" s="388"/>
      <c r="D14" s="398" t="s">
        <v>365</v>
      </c>
      <c r="F14" s="404"/>
      <c r="G14" s="475">
        <f>G215</f>
        <v>5243353</v>
      </c>
      <c r="H14" s="476"/>
      <c r="I14" s="432"/>
      <c r="J14" s="431"/>
      <c r="K14" s="431"/>
      <c r="L14" s="432">
        <f>L215</f>
        <v>0</v>
      </c>
      <c r="M14" s="476"/>
      <c r="N14" s="432"/>
      <c r="O14" s="431"/>
      <c r="P14" s="431"/>
      <c r="Q14" s="432">
        <f>Q215</f>
        <v>0</v>
      </c>
      <c r="R14" s="476"/>
      <c r="S14" s="432"/>
      <c r="T14" s="431"/>
      <c r="U14" s="431"/>
      <c r="V14" s="432">
        <f>V215</f>
        <v>0</v>
      </c>
      <c r="W14" s="476"/>
      <c r="X14" s="432"/>
      <c r="Y14" s="431"/>
      <c r="Z14" s="431"/>
      <c r="AA14" s="432">
        <f>AA215</f>
        <v>0</v>
      </c>
      <c r="AB14" s="476"/>
      <c r="AC14" s="432"/>
      <c r="AD14" s="431"/>
      <c r="AE14" s="431"/>
      <c r="AF14" s="432">
        <f>AF215</f>
        <v>0</v>
      </c>
      <c r="AG14" s="476"/>
      <c r="AH14" s="432"/>
      <c r="AI14" s="431"/>
      <c r="AJ14" s="431"/>
      <c r="AK14" s="432">
        <f>AK215</f>
        <v>0</v>
      </c>
      <c r="AL14" s="476"/>
      <c r="AM14" s="432"/>
      <c r="AN14" s="431"/>
      <c r="AO14" s="431"/>
      <c r="AP14" s="432">
        <f>AP215</f>
        <v>0</v>
      </c>
      <c r="AQ14" s="476"/>
      <c r="AR14" s="432"/>
      <c r="AS14" s="431"/>
      <c r="AT14" s="431"/>
      <c r="AU14" s="432">
        <f>AU215</f>
        <v>0</v>
      </c>
      <c r="AV14" s="476"/>
      <c r="AW14" s="432"/>
      <c r="AX14" s="431"/>
      <c r="AY14" s="431"/>
      <c r="AZ14" s="432">
        <f>AZ215</f>
        <v>0</v>
      </c>
      <c r="BA14" s="476"/>
      <c r="BB14" s="432"/>
      <c r="BC14" s="431"/>
      <c r="BD14" s="431"/>
      <c r="BE14" s="432">
        <f>BE215</f>
        <v>0</v>
      </c>
      <c r="BF14" s="476"/>
      <c r="BH14" s="431"/>
      <c r="BI14" s="431"/>
      <c r="BJ14" s="432">
        <f>BJ215</f>
        <v>7577210</v>
      </c>
      <c r="BK14" s="476"/>
      <c r="BL14" s="432"/>
      <c r="BM14" s="431"/>
      <c r="BN14" s="431"/>
      <c r="BO14" s="432">
        <f>BO215</f>
        <v>0</v>
      </c>
      <c r="BP14" s="476"/>
      <c r="BQ14" s="432"/>
      <c r="BR14" s="431"/>
      <c r="BS14" s="431"/>
      <c r="BT14" s="432">
        <f>BT215</f>
        <v>7577210</v>
      </c>
      <c r="BU14" s="476"/>
      <c r="BV14" s="432"/>
      <c r="BW14" s="398"/>
      <c r="BZ14" s="411"/>
      <c r="CA14" s="411"/>
    </row>
    <row r="15" spans="1:79" ht="12.75" x14ac:dyDescent="0.2">
      <c r="A15" s="388"/>
      <c r="B15" s="388"/>
      <c r="D15" s="398" t="s">
        <v>366</v>
      </c>
      <c r="F15" s="427"/>
      <c r="G15" s="477">
        <f>G283</f>
        <v>1028268</v>
      </c>
      <c r="H15" s="478"/>
      <c r="I15" s="432"/>
      <c r="J15" s="431"/>
      <c r="K15" s="446"/>
      <c r="L15" s="479">
        <f>L283</f>
        <v>487336</v>
      </c>
      <c r="M15" s="478"/>
      <c r="N15" s="432"/>
      <c r="O15" s="431"/>
      <c r="P15" s="446"/>
      <c r="Q15" s="479">
        <f>Q283</f>
        <v>29682</v>
      </c>
      <c r="R15" s="478"/>
      <c r="S15" s="432"/>
      <c r="T15" s="431"/>
      <c r="U15" s="446"/>
      <c r="V15" s="479">
        <f>V283</f>
        <v>28489</v>
      </c>
      <c r="W15" s="478"/>
      <c r="X15" s="432"/>
      <c r="Y15" s="431"/>
      <c r="Z15" s="446"/>
      <c r="AA15" s="479">
        <f>AA283</f>
        <v>0</v>
      </c>
      <c r="AB15" s="478"/>
      <c r="AC15" s="432"/>
      <c r="AD15" s="431"/>
      <c r="AE15" s="446"/>
      <c r="AF15" s="479">
        <f>AF283</f>
        <v>41191</v>
      </c>
      <c r="AG15" s="478"/>
      <c r="AH15" s="432"/>
      <c r="AI15" s="431"/>
      <c r="AJ15" s="446"/>
      <c r="AK15" s="479">
        <f>AK283</f>
        <v>18552</v>
      </c>
      <c r="AL15" s="478"/>
      <c r="AM15" s="432"/>
      <c r="AN15" s="431"/>
      <c r="AO15" s="446"/>
      <c r="AP15" s="479">
        <f>AP283</f>
        <v>0</v>
      </c>
      <c r="AQ15" s="478"/>
      <c r="AR15" s="432"/>
      <c r="AS15" s="431"/>
      <c r="AT15" s="446"/>
      <c r="AU15" s="479">
        <f>AU283</f>
        <v>85877</v>
      </c>
      <c r="AV15" s="478"/>
      <c r="AW15" s="432"/>
      <c r="AX15" s="431"/>
      <c r="AY15" s="446"/>
      <c r="AZ15" s="479">
        <f>AZ283</f>
        <v>204461</v>
      </c>
      <c r="BA15" s="478"/>
      <c r="BB15" s="432"/>
      <c r="BC15" s="431"/>
      <c r="BD15" s="446"/>
      <c r="BE15" s="479">
        <f>BE283</f>
        <v>132680</v>
      </c>
      <c r="BF15" s="478"/>
      <c r="BG15" s="432"/>
      <c r="BH15" s="431"/>
      <c r="BI15" s="446"/>
      <c r="BJ15" s="479">
        <f>BJ283</f>
        <v>1279237</v>
      </c>
      <c r="BK15" s="478"/>
      <c r="BL15" s="432"/>
      <c r="BM15" s="431"/>
      <c r="BN15" s="446"/>
      <c r="BO15" s="479">
        <f>BO283</f>
        <v>2584491</v>
      </c>
      <c r="BP15" s="478"/>
      <c r="BQ15" s="432"/>
      <c r="BR15" s="431"/>
      <c r="BS15" s="446"/>
      <c r="BT15" s="479">
        <f>BT283</f>
        <v>4891996</v>
      </c>
      <c r="BU15" s="478"/>
      <c r="BV15" s="432"/>
      <c r="BW15" s="398"/>
      <c r="BZ15" s="411"/>
      <c r="CA15" s="411"/>
    </row>
    <row r="16" spans="1:79" ht="12.75" hidden="1" customHeight="1" x14ac:dyDescent="0.2">
      <c r="A16" s="388"/>
      <c r="B16" s="388"/>
      <c r="D16" s="426" t="s">
        <v>367</v>
      </c>
      <c r="E16" s="480"/>
      <c r="F16" s="481"/>
      <c r="G16" s="477">
        <v>0</v>
      </c>
      <c r="H16" s="478"/>
      <c r="I16" s="432"/>
      <c r="J16" s="431"/>
      <c r="K16" s="446"/>
      <c r="L16" s="479">
        <f>L313</f>
        <v>0</v>
      </c>
      <c r="M16" s="478"/>
      <c r="N16" s="432"/>
      <c r="O16" s="431"/>
      <c r="P16" s="446"/>
      <c r="Q16" s="479">
        <f>Q313</f>
        <v>0</v>
      </c>
      <c r="R16" s="478"/>
      <c r="S16" s="432"/>
      <c r="T16" s="431"/>
      <c r="U16" s="446"/>
      <c r="V16" s="479">
        <f>V313</f>
        <v>0</v>
      </c>
      <c r="W16" s="478"/>
      <c r="X16" s="432"/>
      <c r="Y16" s="431"/>
      <c r="Z16" s="446"/>
      <c r="AA16" s="479">
        <f>AA313</f>
        <v>0</v>
      </c>
      <c r="AB16" s="478"/>
      <c r="AC16" s="432"/>
      <c r="AD16" s="431"/>
      <c r="AE16" s="446"/>
      <c r="AF16" s="479">
        <v>0</v>
      </c>
      <c r="AG16" s="478"/>
      <c r="AH16" s="432"/>
      <c r="AI16" s="431"/>
      <c r="AJ16" s="446"/>
      <c r="AK16" s="479">
        <v>0</v>
      </c>
      <c r="AL16" s="478"/>
      <c r="AM16" s="432"/>
      <c r="AN16" s="431"/>
      <c r="AO16" s="446"/>
      <c r="AP16" s="479">
        <f>AP313</f>
        <v>0</v>
      </c>
      <c r="AQ16" s="478"/>
      <c r="AR16" s="432"/>
      <c r="AS16" s="431"/>
      <c r="AT16" s="446"/>
      <c r="AU16" s="479">
        <f>AU313</f>
        <v>0</v>
      </c>
      <c r="AV16" s="478"/>
      <c r="AW16" s="432"/>
      <c r="AX16" s="431"/>
      <c r="AY16" s="446"/>
      <c r="AZ16" s="479">
        <f>AZ313</f>
        <v>0</v>
      </c>
      <c r="BA16" s="478"/>
      <c r="BB16" s="432"/>
      <c r="BC16" s="431"/>
      <c r="BD16" s="446"/>
      <c r="BE16" s="479">
        <f>BE313</f>
        <v>0</v>
      </c>
      <c r="BF16" s="478"/>
      <c r="BG16" s="432"/>
      <c r="BH16" s="431"/>
      <c r="BI16" s="446"/>
      <c r="BJ16" s="479">
        <f>BJ313</f>
        <v>0</v>
      </c>
      <c r="BK16" s="478"/>
      <c r="BL16" s="432"/>
      <c r="BM16" s="431"/>
      <c r="BN16" s="446"/>
      <c r="BO16" s="479">
        <f>BO313</f>
        <v>0</v>
      </c>
      <c r="BP16" s="478"/>
      <c r="BQ16" s="432"/>
      <c r="BR16" s="431"/>
      <c r="BS16" s="446"/>
      <c r="BT16" s="479">
        <v>0</v>
      </c>
      <c r="BU16" s="478"/>
      <c r="BV16" s="432"/>
      <c r="BW16" s="398"/>
      <c r="BZ16" s="411"/>
      <c r="CA16" s="411"/>
    </row>
    <row r="17" spans="1:80" ht="12.75" x14ac:dyDescent="0.2">
      <c r="A17" s="388"/>
      <c r="B17" s="388"/>
      <c r="D17" s="398"/>
      <c r="F17" s="388"/>
      <c r="G17" s="475"/>
      <c r="H17" s="432"/>
      <c r="I17" s="432"/>
      <c r="J17" s="431"/>
      <c r="K17" s="432"/>
      <c r="L17" s="432"/>
      <c r="M17" s="432"/>
      <c r="N17" s="432"/>
      <c r="O17" s="431"/>
      <c r="P17" s="432"/>
      <c r="Q17" s="432"/>
      <c r="R17" s="432"/>
      <c r="S17" s="432"/>
      <c r="T17" s="431"/>
      <c r="U17" s="432"/>
      <c r="V17" s="432"/>
      <c r="W17" s="432"/>
      <c r="X17" s="432"/>
      <c r="Y17" s="431"/>
      <c r="Z17" s="432"/>
      <c r="AA17" s="432"/>
      <c r="AB17" s="432"/>
      <c r="AC17" s="432"/>
      <c r="AD17" s="431"/>
      <c r="AE17" s="432"/>
      <c r="AF17" s="432"/>
      <c r="AG17" s="432"/>
      <c r="AH17" s="432"/>
      <c r="AI17" s="431"/>
      <c r="AJ17" s="432"/>
      <c r="AK17" s="432"/>
      <c r="AL17" s="432"/>
      <c r="AM17" s="432"/>
      <c r="AN17" s="431"/>
      <c r="AO17" s="432"/>
      <c r="AP17" s="432"/>
      <c r="AQ17" s="432"/>
      <c r="AR17" s="432"/>
      <c r="AS17" s="431"/>
      <c r="AT17" s="432"/>
      <c r="AU17" s="432"/>
      <c r="AV17" s="432"/>
      <c r="AW17" s="432"/>
      <c r="AX17" s="431"/>
      <c r="AY17" s="432"/>
      <c r="AZ17" s="432"/>
      <c r="BA17" s="432"/>
      <c r="BB17" s="432"/>
      <c r="BC17" s="431"/>
      <c r="BD17" s="432"/>
      <c r="BE17" s="432"/>
      <c r="BF17" s="432"/>
      <c r="BG17" s="432"/>
      <c r="BH17" s="431"/>
      <c r="BI17" s="432"/>
      <c r="BJ17" s="432"/>
      <c r="BK17" s="432"/>
      <c r="BL17" s="432"/>
      <c r="BM17" s="431"/>
      <c r="BN17" s="432"/>
      <c r="BO17" s="432"/>
      <c r="BP17" s="432"/>
      <c r="BQ17" s="432"/>
      <c r="BR17" s="431"/>
      <c r="BS17" s="432"/>
      <c r="BT17" s="432"/>
      <c r="BU17" s="432"/>
      <c r="BV17" s="432"/>
      <c r="BW17" s="398"/>
      <c r="BZ17" s="411"/>
      <c r="CA17" s="411"/>
    </row>
    <row r="18" spans="1:80" s="411" customFormat="1" ht="12.75" x14ac:dyDescent="0.2">
      <c r="A18" s="389"/>
      <c r="B18" s="389"/>
      <c r="D18" s="405" t="s">
        <v>368</v>
      </c>
      <c r="E18" s="407"/>
      <c r="F18" s="389"/>
      <c r="G18" s="482">
        <f>SUM(G19:G22)</f>
        <v>591023575</v>
      </c>
      <c r="H18" s="482"/>
      <c r="I18" s="482"/>
      <c r="J18" s="483"/>
      <c r="K18" s="482"/>
      <c r="L18" s="482">
        <f>SUM(L19:L22)</f>
        <v>38350619</v>
      </c>
      <c r="M18" s="482"/>
      <c r="N18" s="482"/>
      <c r="O18" s="483"/>
      <c r="P18" s="482"/>
      <c r="Q18" s="482">
        <f>SUM(Q19:Q22)</f>
        <v>45031287.743999995</v>
      </c>
      <c r="R18" s="482"/>
      <c r="S18" s="482"/>
      <c r="T18" s="483"/>
      <c r="U18" s="482"/>
      <c r="V18" s="482">
        <f>SUM(V19:V22)</f>
        <v>49600848</v>
      </c>
      <c r="W18" s="482"/>
      <c r="X18" s="482"/>
      <c r="Y18" s="483"/>
      <c r="Z18" s="482"/>
      <c r="AA18" s="482">
        <f>SUM(AA19:AA22)</f>
        <v>69933031</v>
      </c>
      <c r="AB18" s="482"/>
      <c r="AC18" s="482"/>
      <c r="AD18" s="483"/>
      <c r="AE18" s="482"/>
      <c r="AF18" s="482">
        <f>SUM(AF19:AF22)</f>
        <v>44319358</v>
      </c>
      <c r="AG18" s="482"/>
      <c r="AH18" s="482"/>
      <c r="AI18" s="483"/>
      <c r="AJ18" s="482"/>
      <c r="AK18" s="482">
        <f>SUM(AK19:AK22)</f>
        <v>61486843</v>
      </c>
      <c r="AL18" s="482"/>
      <c r="AM18" s="482"/>
      <c r="AN18" s="483"/>
      <c r="AO18" s="482"/>
      <c r="AP18" s="482">
        <f>SUM(AP19:AP22)</f>
        <v>59931421</v>
      </c>
      <c r="AQ18" s="482"/>
      <c r="AR18" s="482"/>
      <c r="AS18" s="483"/>
      <c r="AT18" s="482"/>
      <c r="AU18" s="482">
        <f>SUM(AU19:AU22)</f>
        <v>46634910</v>
      </c>
      <c r="AV18" s="482"/>
      <c r="AW18" s="482"/>
      <c r="AX18" s="483"/>
      <c r="AY18" s="482"/>
      <c r="AZ18" s="482">
        <f>SUM(AZ19:AZ22)</f>
        <v>52191398</v>
      </c>
      <c r="BA18" s="482"/>
      <c r="BB18" s="482"/>
      <c r="BC18" s="483"/>
      <c r="BD18" s="482"/>
      <c r="BE18" s="482">
        <f>SUM(BE19:BE22)</f>
        <v>39060638</v>
      </c>
      <c r="BF18" s="482"/>
      <c r="BG18" s="482"/>
      <c r="BH18" s="483"/>
      <c r="BI18" s="482"/>
      <c r="BJ18" s="482">
        <f>SUM(BJ19:BJ22)</f>
        <v>49399464</v>
      </c>
      <c r="BK18" s="482"/>
      <c r="BL18" s="482"/>
      <c r="BM18" s="483"/>
      <c r="BN18" s="482"/>
      <c r="BO18" s="482">
        <f>SUM(BO19:BO22)</f>
        <v>48828037</v>
      </c>
      <c r="BP18" s="482"/>
      <c r="BQ18" s="482"/>
      <c r="BR18" s="483"/>
      <c r="BS18" s="482"/>
      <c r="BT18" s="482">
        <f>SUM(BT19:BT22)</f>
        <v>604767854.74399996</v>
      </c>
      <c r="BU18" s="482"/>
      <c r="BV18" s="482"/>
      <c r="BW18" s="405"/>
      <c r="CB18" s="484"/>
    </row>
    <row r="19" spans="1:80" ht="12.75" x14ac:dyDescent="0.2">
      <c r="A19" s="388"/>
      <c r="B19" s="388"/>
      <c r="D19" s="398" t="s">
        <v>369</v>
      </c>
      <c r="F19" s="412"/>
      <c r="G19" s="485">
        <f>518500000-425</f>
        <v>518499575</v>
      </c>
      <c r="H19" s="486"/>
      <c r="I19" s="101"/>
      <c r="J19" s="487"/>
      <c r="K19" s="488"/>
      <c r="L19" s="485">
        <f>+L25+L58+L63+L68+L74+L80+L85+L91+L96+L101+L106+L111+L116+L121+L126+L132+L138+L144+L149+L192+L206+L154+L179+L28+L34+L52+L40+L159+L164+L169+L174+L46</f>
        <v>32408976</v>
      </c>
      <c r="M19" s="486"/>
      <c r="N19" s="101"/>
      <c r="O19" s="487"/>
      <c r="P19" s="488"/>
      <c r="Q19" s="485">
        <f>+Q25+Q58+Q63+Q68+Q74+Q80+Q85+Q91+Q96+Q101+Q106+Q111+Q116+Q121+Q126+Q132+Q138+Q144+Q149+Q192+Q206+Q154+Q179+Q28+Q34+Q52+Q40+Q159+Q164+Q169+Q174+Q46</f>
        <v>40737984.292999998</v>
      </c>
      <c r="R19" s="486"/>
      <c r="S19" s="101"/>
      <c r="T19" s="487"/>
      <c r="U19" s="488"/>
      <c r="V19" s="485">
        <f>+V25+V58+V63+V68+V74+V80+V85+V91+V96+V101+V106+V111+V116+V121+V126+V132+V138+V144+V149+V192+V206+V154+V179+V28+V34+V52+V40+V159+V164+V169+V174+V46</f>
        <v>41826856</v>
      </c>
      <c r="W19" s="486"/>
      <c r="X19" s="101"/>
      <c r="Y19" s="487"/>
      <c r="Z19" s="488"/>
      <c r="AA19" s="485">
        <f>+AA25+AA58+AA63+AA68+AA74+AA80+AA85+AA91+AA96+AA101+AA106+AA111+AA116+AA121+AA126+AA132+AA138+AA144+AA149+AA192+AA206+AA154+AA179+AA28+AA34+AA52+AA40+AA159+AA164+AA169+AA174+AA46</f>
        <v>59773525</v>
      </c>
      <c r="AB19" s="486"/>
      <c r="AC19" s="101"/>
      <c r="AD19" s="487"/>
      <c r="AE19" s="488"/>
      <c r="AF19" s="485">
        <f>+AF25+AF58+AF63+AF68+AF74+AF80+AF85+AF91+AF96+AF101+AF106+AF111+AF116+AF121+AF126+AF132+AF138+AF144+AF149+AF192+AF206+AF154+AF179+AF28+AF34+AF52+AF40+AF159+AF164+AF169+AF174+AF46</f>
        <v>35573638</v>
      </c>
      <c r="AG19" s="486"/>
      <c r="AH19" s="101"/>
      <c r="AI19" s="487"/>
      <c r="AJ19" s="488"/>
      <c r="AK19" s="485">
        <f>+AK25+AK58+AK63+AK68+AK74+AK80+AK85+AK91+AK96+AK101+AK106+AK111+AK116+AK121+AK126+AK132+AK138+AK144+AK149+AK192+AK206+AK154+AK179+AK28+AK34+AK52+AK40+AK159+AK164+AK169+AK174+AK46</f>
        <v>47078533</v>
      </c>
      <c r="AL19" s="486"/>
      <c r="AM19" s="101"/>
      <c r="AN19" s="487"/>
      <c r="AO19" s="488"/>
      <c r="AP19" s="485">
        <f>+AP25+AP58+AP63+AP68+AP74+AP80+AP85+AP91+AP96+AP101+AP106+AP111+AP116+AP121+AP126+AP132+AP138+AP144+AP149+AP192+AP206+AP154+AP179+AP28+AP34+AP52+AP40+AP159+AP164+AP169+AP174+AP46</f>
        <v>49799971</v>
      </c>
      <c r="AQ19" s="486"/>
      <c r="AR19" s="101"/>
      <c r="AS19" s="487"/>
      <c r="AT19" s="488"/>
      <c r="AU19" s="485">
        <f>+AU25+AU58+AU63+AU68+AU74+AU80+AU85+AU91+AU96+AU101+AU106+AU111+AU116+AU121+AU126+AU132+AU138+AU144+AU149+AU192+AU206+AU154+AU179+AU28+AU34+AU52+AU40+AU159+AU164+AU169+AU174+AU46</f>
        <v>37061635</v>
      </c>
      <c r="AV19" s="486"/>
      <c r="AW19" s="101"/>
      <c r="AX19" s="487"/>
      <c r="AY19" s="488"/>
      <c r="AZ19" s="485">
        <f>+AZ25+AZ58+AZ63+AZ68+AZ74+AZ80+AZ85+AZ91+AZ96+AZ101+AZ106+AZ111+AZ116+AZ121+AZ126+AZ132+AZ138+AZ144+AZ149+AZ192+AZ206+AZ154+AZ179+AZ28+AZ34+AZ52+AZ40+AZ159+AZ164+AZ169+AZ174+AZ46</f>
        <v>44964861</v>
      </c>
      <c r="BA19" s="486"/>
      <c r="BB19" s="101"/>
      <c r="BC19" s="487"/>
      <c r="BD19" s="488"/>
      <c r="BE19" s="485">
        <f>+BE25+BE58+BE63+BE68+BE74+BE80+BE85+BE91+BE96+BE101+BE106+BE111+BE116+BE121+BE126+BE132+BE138+BE144+BE149+BE192+BE206+BE154+BE179+BE28+BE34+BE52+BE40+BE159+BE164+BE169+BE174+BE46</f>
        <v>34563245</v>
      </c>
      <c r="BF19" s="486"/>
      <c r="BG19" s="101"/>
      <c r="BH19" s="487"/>
      <c r="BI19" s="488"/>
      <c r="BJ19" s="485">
        <f>+BJ25+BJ58+BJ63+BJ68+BJ74+BJ80+BJ85+BJ91+BJ96+BJ101+BJ106+BJ111+BJ116+BJ121+BJ126+BJ132+BJ138+BJ144+BJ149+BJ192+BJ206+BJ154+BJ179+BJ28+BJ34+BJ52+BJ40+BJ159+BJ164+BJ169+BJ174+BJ46</f>
        <v>39851499</v>
      </c>
      <c r="BK19" s="486"/>
      <c r="BL19" s="101"/>
      <c r="BM19" s="487"/>
      <c r="BN19" s="488"/>
      <c r="BO19" s="485">
        <f>+BO25+BO58+BO63+BO68+BO74+BO80+BO85+BO91+BO96+BO101+BO106+BO111+BO116+BO121+BO126+BO132+BO138+BO144+BO149+BO192+BO206+BO154+BO179+BO28+BO34+BO52+BO40+BO159+BO164+BO169+BO174+BO46</f>
        <v>40009609</v>
      </c>
      <c r="BP19" s="486"/>
      <c r="BQ19" s="101"/>
      <c r="BR19" s="487"/>
      <c r="BS19" s="488"/>
      <c r="BT19" s="485">
        <f>+BT25+BT58+BT63+BT68+BT74+BT80+BT85+BT91+BT96+BT101+BT106+BT111+BT116+BT121+BT126+BT132+BT138+BT144+BT149+BT192+BT206+BT154+BT179+BT28+BT34+BT52+BT40+BT159+BT164+BT169+BT174+BT46</f>
        <v>503650332.29299998</v>
      </c>
      <c r="BU19" s="486"/>
      <c r="BV19" s="101"/>
      <c r="BW19" s="398"/>
      <c r="BZ19" s="411"/>
      <c r="CA19" s="411"/>
      <c r="CB19" s="489"/>
    </row>
    <row r="20" spans="1:80" ht="12.75" x14ac:dyDescent="0.2">
      <c r="A20" s="388"/>
      <c r="B20" s="388"/>
      <c r="D20" s="398" t="s">
        <v>333</v>
      </c>
      <c r="F20" s="404"/>
      <c r="G20" s="101">
        <v>72524000</v>
      </c>
      <c r="H20" s="49"/>
      <c r="I20" s="101"/>
      <c r="J20" s="487"/>
      <c r="K20" s="487"/>
      <c r="L20" s="101">
        <f>+L59+L64+L69+L75+L81+L86+L92+L97+L102+L107+L112+L117+L122+L127+L133+L139+L145+L150+L155+L180+L29+L35+L53+L41+L160+L165+L170+L175+L47</f>
        <v>4299769</v>
      </c>
      <c r="M20" s="49"/>
      <c r="N20" s="101"/>
      <c r="O20" s="487"/>
      <c r="P20" s="487"/>
      <c r="Q20" s="101">
        <f>+Q59+Q64+Q69+Q75+Q81+Q86+Q92+Q97+Q102+Q107+Q112+Q117+Q122+Q127+Q133+Q139+Q145+Q150+Q155+Q180+Q29+Q35+Q53+Q41+Q160+Q165+Q170+Q175+Q47</f>
        <v>4058204</v>
      </c>
      <c r="R20" s="49"/>
      <c r="S20" s="101"/>
      <c r="T20" s="487"/>
      <c r="U20" s="487"/>
      <c r="V20" s="101">
        <f>+V59+V64+V69+V75+V81+V86+V92+V97+V102+V107+V112+V117+V122+V127+V133+V139+V145+V150+V155+V180+V29+V35+V53+V41+V160+V165+V170+V175+V47</f>
        <v>6085389</v>
      </c>
      <c r="W20" s="49"/>
      <c r="X20" s="101"/>
      <c r="Y20" s="487"/>
      <c r="Z20" s="487"/>
      <c r="AA20" s="101">
        <f>+AA59+AA64+AA69+AA75+AA81+AA86+AA92+AA97+AA102+AA107+AA112+AA117+AA122+AA127+AA133+AA139+AA145+AA150+AA155+AA180+AA29+AA35+AA53+AA41+AA160+AA165+AA170+AA175+AA47</f>
        <v>8992564</v>
      </c>
      <c r="AB20" s="49"/>
      <c r="AC20" s="101"/>
      <c r="AD20" s="487"/>
      <c r="AE20" s="487"/>
      <c r="AF20" s="101">
        <f>+AF59+AF64+AF69+AF75+AF81+AF86+AF92+AF97+AF102+AF107+AF112+AF117+AF122+AF127+AF133+AF139+AF145+AF150+AF155+AF180+AF29+AF35+AF53+AF41+AF160+AF165+AF170+AF175+AF47</f>
        <v>6877121</v>
      </c>
      <c r="AG20" s="49"/>
      <c r="AH20" s="101"/>
      <c r="AI20" s="487"/>
      <c r="AJ20" s="487"/>
      <c r="AK20" s="101">
        <f>+AK59+AK64+AK69+AK75+AK81+AK86+AK92+AK97+AK102+AK107+AK112+AK117+AK122+AK127+AK133+AK139+AK145+AK150+AK155+AK180+AK29+AK35+AK53+AK41+AK160+AK165+AK170+AK175+AK47</f>
        <v>10836667</v>
      </c>
      <c r="AL20" s="49"/>
      <c r="AM20" s="101"/>
      <c r="AN20" s="487"/>
      <c r="AO20" s="487"/>
      <c r="AP20" s="101">
        <f>+AP59+AP64+AP69+AP75+AP81+AP86+AP92+AP97+AP102+AP107+AP112+AP117+AP122+AP127+AP133+AP139+AP145+AP150+AP155+AP180+AP29+AP35+AP53+AP41+AP160+AP165+AP170+AP175+AP47</f>
        <v>9026146</v>
      </c>
      <c r="AQ20" s="49"/>
      <c r="AR20" s="101"/>
      <c r="AS20" s="487"/>
      <c r="AT20" s="487"/>
      <c r="AU20" s="101">
        <f>+AU59+AU64+AU69+AU75+AU81+AU86+AU92+AU97+AU102+AU107+AU112+AU117+AU122+AU127+AU133+AU139+AU145+AU150+AU155+AU180+AU29+AU35+AU53+AU41+AU160+AU165+AU170+AU175+AU47</f>
        <v>7195171</v>
      </c>
      <c r="AV20" s="49"/>
      <c r="AW20" s="101"/>
      <c r="AX20" s="487"/>
      <c r="AY20" s="487"/>
      <c r="AZ20" s="101">
        <f>+AZ59+AZ64+AZ69+AZ75+AZ81+AZ86+AZ92+AZ97+AZ102+AZ107+AZ112+AZ117+AZ122+AZ127+AZ133+AZ139+AZ145+AZ150+AZ155+AZ180+AZ29+AZ35+AZ53+AZ41+AZ160+AZ165+AZ170+AZ175+AZ47</f>
        <v>6333842</v>
      </c>
      <c r="BA20" s="49"/>
      <c r="BB20" s="101"/>
      <c r="BC20" s="487"/>
      <c r="BD20" s="487"/>
      <c r="BE20" s="101">
        <f>+BE59+BE64+BE69+BE75+BE81+BE86+BE92+BE97+BE102+BE107+BE112+BE117+BE122+BE127+BE133+BE139+BE145+BE150+BE155+BE180+BE29+BE35+BE53+BE41+BE160+BE165+BE170+BE175+BE47</f>
        <v>3989426</v>
      </c>
      <c r="BF20" s="49"/>
      <c r="BG20" s="101"/>
      <c r="BH20" s="487"/>
      <c r="BI20" s="487"/>
      <c r="BJ20" s="101">
        <f>+BJ59+BJ64+BJ69+BJ75+BJ81+BJ86+BJ92+BJ97+BJ102+BJ107+BJ112+BJ117+BJ122+BJ127+BJ133+BJ139+BJ145+BJ150+BJ155+BJ180+BJ29+BJ35+BJ53+BJ41+BJ160+BJ165+BJ170+BJ175+BJ47</f>
        <v>6713436</v>
      </c>
      <c r="BK20" s="49"/>
      <c r="BL20" s="101"/>
      <c r="BM20" s="487"/>
      <c r="BN20" s="487"/>
      <c r="BO20" s="101">
        <f>+BO59+BO64+BO69+BO75+BO81+BO86+BO92+BO97+BO102+BO107+BO112+BO117+BO122+BO127+BO133+BO139+BO145+BO150+BO155+BO180+BO29+BO35+BO53+BO41+BO160+BO165+BO170+BO175+BO47</f>
        <v>6983980</v>
      </c>
      <c r="BP20" s="49"/>
      <c r="BQ20" s="101"/>
      <c r="BR20" s="487"/>
      <c r="BS20" s="487"/>
      <c r="BT20" s="101">
        <f>+BT59+BT64+BT69+BT75+BT81+BT86+BT92+BT97+BT102+BT107+BT112+BT117+BT122+BT127+BT133+BT139+BT145+BT150+BT155+BT180+BT29+BT35+BT53+BT41+BT160+BT165+BT170+BT175+BT47</f>
        <v>81391715</v>
      </c>
      <c r="BU20" s="49"/>
      <c r="BV20" s="101"/>
      <c r="BW20" s="398"/>
      <c r="BZ20" s="411"/>
      <c r="CA20" s="411"/>
      <c r="CB20" s="489"/>
    </row>
    <row r="21" spans="1:80" ht="12.75" x14ac:dyDescent="0.2">
      <c r="A21" s="388"/>
      <c r="B21" s="388"/>
      <c r="D21" s="398" t="s">
        <v>370</v>
      </c>
      <c r="F21" s="404"/>
      <c r="G21" s="425">
        <v>0</v>
      </c>
      <c r="H21" s="419"/>
      <c r="I21" s="388"/>
      <c r="J21" s="404"/>
      <c r="K21" s="404"/>
      <c r="L21" s="101">
        <f>+L60+L65+L70+L76+L82+L87+L93+L98+L103+L108+L113+L118+L123+L128+L134+L140+L146+L151+L156+L181+L30+L36+L54+L42+L161+L166+L171+L176+L48</f>
        <v>-376261</v>
      </c>
      <c r="M21" s="49"/>
      <c r="N21" s="101"/>
      <c r="O21" s="487"/>
      <c r="P21" s="487"/>
      <c r="Q21" s="101">
        <f>+Q60+Q65+Q70+Q76+Q82+Q87+Q93+Q98+Q103+Q108+Q113+Q118+Q123+Q128+Q134+Q140+Q146+Q151+Q156+Q181+Q30+Q36+Q54+Q42+Q161+Q166+Q171+Q176+Q48</f>
        <v>-1466989</v>
      </c>
      <c r="R21" s="49"/>
      <c r="S21" s="101"/>
      <c r="T21" s="487"/>
      <c r="U21" s="487"/>
      <c r="V21" s="101">
        <f>+V60+V65+V70+V76+V82+V87+V93+V98+V103+V108+V113+V118+V123+V128+V134+V140+V146+V151+V156+V181+V30+V36+V54+V42+V161+V166+V171+V176+V48</f>
        <v>-764417</v>
      </c>
      <c r="W21" s="49"/>
      <c r="X21" s="101"/>
      <c r="Y21" s="487"/>
      <c r="Z21" s="487"/>
      <c r="AA21" s="101">
        <f>+AA60+AA65+AA70+AA76+AA82+AA87+AA93+AA98+AA103+AA108+AA113+AA118+AA123+AA128+AA134+AA140+AA146+AA151+AA156+AA181+AA30+AA36+AA54+AA42+AA161+AA166+AA171+AA176+AA48</f>
        <v>-2780721</v>
      </c>
      <c r="AB21" s="49"/>
      <c r="AC21" s="101"/>
      <c r="AD21" s="487"/>
      <c r="AE21" s="487"/>
      <c r="AF21" s="101">
        <f>+AF60+AF65+AF70+AF76+AF82+AF87+AF93+AF98+AF103+AF108+AF113+AF118+AF123+AF128+AF134+AF140+AF146+AF151+AF156+AF181+AF30+AF36+AF54+AF42+AF161+AF166+AF171+AF176+AF48</f>
        <v>-1213553</v>
      </c>
      <c r="AG21" s="49"/>
      <c r="AH21" s="101"/>
      <c r="AI21" s="487"/>
      <c r="AJ21" s="487"/>
      <c r="AK21" s="101">
        <f>+AK60+AK65+AK70+AK76+AK82+AK87+AK93+AK98+AK103+AK108+AK113+AK118+AK123+AK128+AK134+AK140+AK146+AK151+AK156+AK181+AK30+AK36+AK54+AK42+AK161+AK166+AK171+AK176+AK48</f>
        <v>-716835</v>
      </c>
      <c r="AL21" s="49"/>
      <c r="AM21" s="101"/>
      <c r="AN21" s="487"/>
      <c r="AO21" s="487"/>
      <c r="AP21" s="101">
        <f>+AP60+AP65+AP70+AP76+AP82+AP87+AP93+AP98+AP103+AP108+AP113+AP118+AP123+AP128+AP134+AP140+AP146+AP151+AP156+AP181+AP30+AP36+AP54+AP42+AP161+AP166+AP171+AP176+AP48</f>
        <v>-2010551</v>
      </c>
      <c r="AQ21" s="49"/>
      <c r="AR21" s="101"/>
      <c r="AS21" s="487"/>
      <c r="AT21" s="487"/>
      <c r="AU21" s="101">
        <f>+AU60+AU65+AU70+AU76+AU82+AU87+AU93+AU98+AU103+AU108+AU113+AU118+AU123+AU128+AU134+AU140+AU146+AU151+AU156+AU181+AU30+AU36+AU54+AU42+AU161+AU166+AU171+AU176+AU48</f>
        <v>-777625</v>
      </c>
      <c r="AV21" s="49"/>
      <c r="AW21" s="101"/>
      <c r="AX21" s="487"/>
      <c r="AY21" s="487"/>
      <c r="AZ21" s="101">
        <f>+AZ60+AZ65+AZ70+AZ76+AZ82+AZ87+AZ93+AZ98+AZ103+AZ108+AZ113+AZ118+AZ123+AZ128+AZ134+AZ140+AZ146+AZ151+AZ156+AZ181+AZ30+AZ36+AZ54+AZ42+AZ161+AZ166+AZ171+AZ176+AZ48</f>
        <v>-2213621</v>
      </c>
      <c r="BA21" s="49"/>
      <c r="BB21" s="101"/>
      <c r="BC21" s="487"/>
      <c r="BD21" s="487"/>
      <c r="BE21" s="101">
        <f>+BE60+BE65+BE70+BE76+BE82+BE87+BE93+BE98+BE103+BE108+BE113+BE118+BE123+BE128+BE134+BE140+BE146+BE151+BE156+BE181+BE30+BE36+BE54+BE42+BE161+BE166+BE171+BE176+BE48</f>
        <v>-1216723</v>
      </c>
      <c r="BF21" s="49"/>
      <c r="BG21" s="101"/>
      <c r="BH21" s="487"/>
      <c r="BI21" s="487"/>
      <c r="BJ21" s="101">
        <f>+BJ60+BJ65+BJ70+BJ76+BJ82+BJ87+BJ93+BJ98+BJ103+BJ108+BJ113+BJ118+BJ123+BJ128+BJ134+BJ140+BJ146+BJ151+BJ156+BJ181+BJ30+BJ36+BJ54+BJ42+BJ161+BJ166+BJ171+BJ176+BJ48</f>
        <v>-33827</v>
      </c>
      <c r="BK21" s="49"/>
      <c r="BL21" s="101"/>
      <c r="BM21" s="487"/>
      <c r="BN21" s="487"/>
      <c r="BO21" s="101">
        <f>+BO60+BO65+BO70+BO76+BO82+BO87+BO93+BO98+BO103+BO108+BO113+BO118+BO123+BO128+BO134+BO140+BO146+BO151+BO156+BO181+BO30+BO36+BO54+BO42+BO161+BO166+BO171+BO176+BO48</f>
        <v>-756787</v>
      </c>
      <c r="BP21" s="49"/>
      <c r="BQ21" s="101"/>
      <c r="BR21" s="487"/>
      <c r="BS21" s="487"/>
      <c r="BT21" s="101">
        <f>+BT60+BT65+BT70+BT76+BT82+BT87+BT93+BT98+BT103+BT108+BT113+BT118+BT123+BT128+BT134+BT140+BT146+BT151+BT156+BT181+BT30+BT36+BT54+BT42+BT161+BT166+BT171+BT176+BT48</f>
        <v>-14327910</v>
      </c>
      <c r="BU21" s="49"/>
      <c r="BV21" s="101"/>
      <c r="BW21" s="398"/>
      <c r="BZ21" s="411"/>
      <c r="CA21" s="411"/>
      <c r="CB21" s="489"/>
    </row>
    <row r="22" spans="1:80" ht="12.75" x14ac:dyDescent="0.2">
      <c r="A22" s="388"/>
      <c r="B22" s="388"/>
      <c r="D22" s="398" t="s">
        <v>371</v>
      </c>
      <c r="F22" s="427"/>
      <c r="G22" s="428">
        <v>0</v>
      </c>
      <c r="H22" s="429"/>
      <c r="I22" s="388"/>
      <c r="J22" s="404"/>
      <c r="K22" s="427"/>
      <c r="L22" s="430">
        <f>+L71+L77+L88+L129+L135+L141+L31+L37+L55+L43+L49</f>
        <v>2018135</v>
      </c>
      <c r="M22" s="429"/>
      <c r="N22" s="388"/>
      <c r="O22" s="404"/>
      <c r="P22" s="427"/>
      <c r="Q22" s="430">
        <f>+Q71+Q77+Q88+Q129+Q135+Q141+Q31+Q37+Q55+Q43+Q49</f>
        <v>1702088.4509999999</v>
      </c>
      <c r="R22" s="429"/>
      <c r="S22" s="388"/>
      <c r="T22" s="404"/>
      <c r="U22" s="427"/>
      <c r="V22" s="430">
        <f>+V71+V77+V88+V129+V135+V141+V31+V37+V55+V43+V49</f>
        <v>2453020</v>
      </c>
      <c r="W22" s="429"/>
      <c r="X22" s="388"/>
      <c r="Y22" s="404"/>
      <c r="Z22" s="427"/>
      <c r="AA22" s="430">
        <f>+AA71+AA77+AA88+AA129+AA135+AA141+AA31+AA37+AA55+AA43+AA49</f>
        <v>3947663</v>
      </c>
      <c r="AB22" s="429"/>
      <c r="AC22" s="388"/>
      <c r="AD22" s="404"/>
      <c r="AE22" s="427"/>
      <c r="AF22" s="430">
        <f>+AF71+AF77+AF88+AF129+AF135+AF141+AF31+AF37+AF55+AF43+AF49</f>
        <v>3082152</v>
      </c>
      <c r="AG22" s="429"/>
      <c r="AH22" s="388"/>
      <c r="AI22" s="404"/>
      <c r="AJ22" s="427"/>
      <c r="AK22" s="430">
        <f>+AK71+AK77+AK88+AK129+AK135+AK141+AK31+AK37+AK55+AK43+AK49</f>
        <v>4288478</v>
      </c>
      <c r="AL22" s="429"/>
      <c r="AM22" s="388"/>
      <c r="AN22" s="404"/>
      <c r="AO22" s="427"/>
      <c r="AP22" s="430">
        <f>+AP71+AP77+AP88+AP129+AP135+AP141+AP31+AP37+AP55+AP43+AP49</f>
        <v>3115855</v>
      </c>
      <c r="AQ22" s="429"/>
      <c r="AR22" s="388"/>
      <c r="AS22" s="404"/>
      <c r="AT22" s="427"/>
      <c r="AU22" s="430">
        <f>+AU71+AU77+AU88+AU129+AU135+AU141+AU31+AU37+AU55+AU43+AU49</f>
        <v>3155729</v>
      </c>
      <c r="AV22" s="429"/>
      <c r="AW22" s="388"/>
      <c r="AX22" s="404"/>
      <c r="AY22" s="427"/>
      <c r="AZ22" s="430">
        <f>+AZ71+AZ77+AZ88+AZ129+AZ135+AZ141+AZ31+AZ37+AZ55+AZ43+AZ49</f>
        <v>3106316</v>
      </c>
      <c r="BA22" s="429"/>
      <c r="BB22" s="388"/>
      <c r="BC22" s="404"/>
      <c r="BD22" s="427"/>
      <c r="BE22" s="430">
        <f>+BE71+BE77+BE88+BE129+BE135+BE141+BE31+BE37+BE55+BE43+BE49</f>
        <v>1724690</v>
      </c>
      <c r="BF22" s="429"/>
      <c r="BG22" s="388"/>
      <c r="BH22" s="404"/>
      <c r="BI22" s="427"/>
      <c r="BJ22" s="430">
        <f>+BJ71+BJ77+BJ88+BJ129+BJ135+BJ141+BJ31+BJ37+BJ55+BJ43+BJ49</f>
        <v>2868356</v>
      </c>
      <c r="BK22" s="429"/>
      <c r="BL22" s="388"/>
      <c r="BM22" s="404"/>
      <c r="BN22" s="427"/>
      <c r="BO22" s="430">
        <f>+BO71+BO77+BO88+BO129+BO135+BO141+BO31+BO37+BO55+BO43+BO49</f>
        <v>2591235</v>
      </c>
      <c r="BP22" s="429"/>
      <c r="BQ22" s="388"/>
      <c r="BR22" s="404"/>
      <c r="BS22" s="427"/>
      <c r="BT22" s="430">
        <f>+BT71+BT77+BT88+BT129+BT135+BT141+BT31+BT37+BT55+BT43+BT49</f>
        <v>34053717.450999998</v>
      </c>
      <c r="BU22" s="429"/>
      <c r="BV22" s="388"/>
      <c r="BW22" s="398"/>
      <c r="BZ22" s="411"/>
      <c r="CA22" s="411"/>
    </row>
    <row r="23" spans="1:80" ht="12.75" x14ac:dyDescent="0.2">
      <c r="A23" s="388"/>
      <c r="B23" s="388"/>
      <c r="D23" s="398"/>
      <c r="F23" s="388"/>
      <c r="G23" s="101"/>
      <c r="H23" s="101"/>
      <c r="I23" s="101"/>
      <c r="J23" s="487"/>
      <c r="K23" s="101"/>
      <c r="L23" s="101"/>
      <c r="M23" s="101"/>
      <c r="N23" s="101"/>
      <c r="O23" s="487"/>
      <c r="P23" s="101"/>
      <c r="Q23" s="101"/>
      <c r="R23" s="101"/>
      <c r="S23" s="101"/>
      <c r="T23" s="487"/>
      <c r="U23" s="101"/>
      <c r="V23" s="101"/>
      <c r="W23" s="101"/>
      <c r="X23" s="101"/>
      <c r="Y23" s="487"/>
      <c r="Z23" s="101"/>
      <c r="AA23" s="101"/>
      <c r="AB23" s="101"/>
      <c r="AC23" s="101"/>
      <c r="AD23" s="487"/>
      <c r="AE23" s="101"/>
      <c r="AF23" s="101"/>
      <c r="AG23" s="101"/>
      <c r="AH23" s="101"/>
      <c r="AI23" s="487"/>
      <c r="AJ23" s="101"/>
      <c r="AK23" s="101"/>
      <c r="AL23" s="101"/>
      <c r="AM23" s="101"/>
      <c r="AN23" s="487"/>
      <c r="AO23" s="101"/>
      <c r="AP23" s="101"/>
      <c r="AQ23" s="101"/>
      <c r="AR23" s="101"/>
      <c r="AS23" s="487"/>
      <c r="AT23" s="101"/>
      <c r="AU23" s="101"/>
      <c r="AV23" s="101"/>
      <c r="AW23" s="101"/>
      <c r="AX23" s="487"/>
      <c r="AY23" s="101"/>
      <c r="AZ23" s="101"/>
      <c r="BA23" s="101"/>
      <c r="BB23" s="101"/>
      <c r="BC23" s="487"/>
      <c r="BD23" s="101"/>
      <c r="BE23" s="101"/>
      <c r="BF23" s="101"/>
      <c r="BG23" s="101"/>
      <c r="BH23" s="487"/>
      <c r="BI23" s="101"/>
      <c r="BJ23" s="101"/>
      <c r="BK23" s="101"/>
      <c r="BL23" s="101"/>
      <c r="BM23" s="487"/>
      <c r="BN23" s="101"/>
      <c r="BO23" s="101"/>
      <c r="BP23" s="101"/>
      <c r="BQ23" s="101"/>
      <c r="BR23" s="487"/>
      <c r="BS23" s="101"/>
      <c r="BT23" s="101"/>
      <c r="BU23" s="101"/>
      <c r="BV23" s="101"/>
      <c r="BW23" s="398"/>
      <c r="BZ23" s="411"/>
      <c r="CA23" s="411"/>
    </row>
    <row r="24" spans="1:80" ht="12.75" customHeight="1" x14ac:dyDescent="0.2">
      <c r="A24" s="388"/>
      <c r="B24" s="388"/>
      <c r="D24" s="398" t="s">
        <v>372</v>
      </c>
      <c r="F24" s="388"/>
      <c r="G24" s="101">
        <f>SUM(G25:G25)</f>
        <v>0</v>
      </c>
      <c r="H24" s="101"/>
      <c r="I24" s="101"/>
      <c r="J24" s="487"/>
      <c r="K24" s="101"/>
      <c r="L24" s="101">
        <f>SUM(L25:L25)</f>
        <v>2634484</v>
      </c>
      <c r="M24" s="101"/>
      <c r="N24" s="101"/>
      <c r="O24" s="487"/>
      <c r="P24" s="101"/>
      <c r="Q24" s="101">
        <f>SUM(Q25:Q25)</f>
        <v>1723199.2930000001</v>
      </c>
      <c r="R24" s="101"/>
      <c r="S24" s="101"/>
      <c r="T24" s="487"/>
      <c r="U24" s="101"/>
      <c r="V24" s="101">
        <f>SUM(V25:V25)</f>
        <v>575828</v>
      </c>
      <c r="W24" s="101"/>
      <c r="X24" s="101"/>
      <c r="Y24" s="487"/>
      <c r="Z24" s="101"/>
      <c r="AA24" s="101">
        <f>SUM(AA25:AA25)</f>
        <v>349368</v>
      </c>
      <c r="AB24" s="101"/>
      <c r="AC24" s="101"/>
      <c r="AD24" s="487"/>
      <c r="AE24" s="101"/>
      <c r="AF24" s="101">
        <f>SUM(AF25:AF25)</f>
        <v>358206</v>
      </c>
      <c r="AG24" s="101"/>
      <c r="AH24" s="101"/>
      <c r="AI24" s="487"/>
      <c r="AJ24" s="101"/>
      <c r="AK24" s="101">
        <f>SUM(AK25:AK25)</f>
        <v>536365</v>
      </c>
      <c r="AL24" s="101"/>
      <c r="AM24" s="101"/>
      <c r="AN24" s="487"/>
      <c r="AO24" s="101"/>
      <c r="AP24" s="101">
        <f>SUM(AP25:AP25)</f>
        <v>368566</v>
      </c>
      <c r="AQ24" s="101"/>
      <c r="AR24" s="101"/>
      <c r="AS24" s="487"/>
      <c r="AT24" s="101"/>
      <c r="AU24" s="101">
        <f>SUM(AU25:AU25)</f>
        <v>392181</v>
      </c>
      <c r="AV24" s="101"/>
      <c r="AW24" s="101"/>
      <c r="AX24" s="487"/>
      <c r="AY24" s="101"/>
      <c r="AZ24" s="101">
        <f>SUM(AZ25:AZ25)</f>
        <v>341082</v>
      </c>
      <c r="BA24" s="101"/>
      <c r="BB24" s="101"/>
      <c r="BC24" s="487"/>
      <c r="BD24" s="101"/>
      <c r="BE24" s="101">
        <f>SUM(BE25:BE25)</f>
        <v>337948</v>
      </c>
      <c r="BF24" s="101"/>
      <c r="BG24" s="101"/>
      <c r="BH24" s="487"/>
      <c r="BI24" s="101"/>
      <c r="BJ24" s="101">
        <f>SUM(BJ25:BJ25)</f>
        <v>281083</v>
      </c>
      <c r="BK24" s="101"/>
      <c r="BL24" s="101"/>
      <c r="BM24" s="487"/>
      <c r="BN24" s="101"/>
      <c r="BO24" s="101">
        <f>SUM(BO25:BO25)</f>
        <v>617802</v>
      </c>
      <c r="BP24" s="101"/>
      <c r="BQ24" s="101"/>
      <c r="BR24" s="487"/>
      <c r="BS24" s="101"/>
      <c r="BT24" s="101">
        <f>SUM(BT25:BT25)</f>
        <v>8516112.2929999996</v>
      </c>
      <c r="BU24" s="101"/>
      <c r="BV24" s="101"/>
      <c r="BW24" s="398"/>
      <c r="BZ24" s="411"/>
      <c r="CA24" s="411"/>
    </row>
    <row r="25" spans="1:80" ht="12.75" x14ac:dyDescent="0.2">
      <c r="A25" s="388"/>
      <c r="B25" s="388"/>
      <c r="D25" s="426" t="s">
        <v>373</v>
      </c>
      <c r="E25" s="487"/>
      <c r="F25" s="490"/>
      <c r="G25" s="491">
        <v>0</v>
      </c>
      <c r="H25" s="492"/>
      <c r="I25" s="101"/>
      <c r="J25" s="487"/>
      <c r="K25" s="493"/>
      <c r="L25" s="491">
        <v>2634484</v>
      </c>
      <c r="M25" s="492"/>
      <c r="N25" s="101"/>
      <c r="O25" s="487"/>
      <c r="P25" s="493"/>
      <c r="Q25" s="494">
        <v>1723199.2930000001</v>
      </c>
      <c r="R25" s="492"/>
      <c r="S25" s="101"/>
      <c r="T25" s="487"/>
      <c r="U25" s="493"/>
      <c r="V25" s="494">
        <v>575828</v>
      </c>
      <c r="W25" s="492"/>
      <c r="X25" s="101"/>
      <c r="Y25" s="487"/>
      <c r="Z25" s="493"/>
      <c r="AA25" s="494">
        <v>349368</v>
      </c>
      <c r="AB25" s="492"/>
      <c r="AC25" s="101"/>
      <c r="AD25" s="487"/>
      <c r="AE25" s="493"/>
      <c r="AF25" s="494">
        <v>358206</v>
      </c>
      <c r="AG25" s="492"/>
      <c r="AH25" s="101"/>
      <c r="AI25" s="487"/>
      <c r="AJ25" s="493"/>
      <c r="AK25" s="494">
        <v>536365</v>
      </c>
      <c r="AL25" s="492"/>
      <c r="AM25" s="101"/>
      <c r="AN25" s="487"/>
      <c r="AO25" s="493"/>
      <c r="AP25" s="494">
        <v>368566</v>
      </c>
      <c r="AQ25" s="492"/>
      <c r="AR25" s="101"/>
      <c r="AS25" s="487"/>
      <c r="AT25" s="493"/>
      <c r="AU25" s="494">
        <v>392181</v>
      </c>
      <c r="AV25" s="492"/>
      <c r="AW25" s="101"/>
      <c r="AX25" s="487"/>
      <c r="AY25" s="493"/>
      <c r="AZ25" s="494">
        <v>341082</v>
      </c>
      <c r="BA25" s="492"/>
      <c r="BB25" s="101"/>
      <c r="BC25" s="487"/>
      <c r="BD25" s="493"/>
      <c r="BE25" s="494">
        <v>337948</v>
      </c>
      <c r="BF25" s="492"/>
      <c r="BG25" s="101"/>
      <c r="BH25" s="487"/>
      <c r="BI25" s="493"/>
      <c r="BJ25" s="494">
        <v>281083</v>
      </c>
      <c r="BK25" s="492"/>
      <c r="BL25" s="101"/>
      <c r="BM25" s="487"/>
      <c r="BN25" s="493"/>
      <c r="BO25" s="494">
        <v>617802</v>
      </c>
      <c r="BP25" s="492"/>
      <c r="BQ25" s="101"/>
      <c r="BR25" s="487"/>
      <c r="BS25" s="493"/>
      <c r="BT25" s="491">
        <f>SUM(L25:BO25)</f>
        <v>8516112.2929999996</v>
      </c>
      <c r="BU25" s="492"/>
      <c r="BV25" s="101"/>
      <c r="BW25" s="398"/>
      <c r="BZ25" s="411"/>
      <c r="CA25" s="411"/>
    </row>
    <row r="26" spans="1:80" ht="12.75" x14ac:dyDescent="0.2">
      <c r="A26" s="388"/>
      <c r="B26" s="388"/>
      <c r="D26" s="495"/>
      <c r="E26" s="487"/>
      <c r="F26" s="388"/>
      <c r="G26" s="101"/>
      <c r="H26" s="101"/>
      <c r="I26" s="101"/>
      <c r="J26" s="487"/>
      <c r="K26" s="101"/>
      <c r="L26" s="101"/>
      <c r="M26" s="101"/>
      <c r="N26" s="101"/>
      <c r="O26" s="487"/>
      <c r="P26" s="101"/>
      <c r="Q26" s="101"/>
      <c r="R26" s="101"/>
      <c r="S26" s="101"/>
      <c r="T26" s="487"/>
      <c r="U26" s="101"/>
      <c r="V26" s="101"/>
      <c r="W26" s="101"/>
      <c r="X26" s="101"/>
      <c r="Y26" s="487"/>
      <c r="Z26" s="101"/>
      <c r="AA26" s="101"/>
      <c r="AB26" s="101"/>
      <c r="AC26" s="101"/>
      <c r="AD26" s="487"/>
      <c r="AE26" s="101"/>
      <c r="AF26" s="101"/>
      <c r="AG26" s="101"/>
      <c r="AH26" s="101"/>
      <c r="AI26" s="487"/>
      <c r="AJ26" s="101"/>
      <c r="AK26" s="101"/>
      <c r="AL26" s="101"/>
      <c r="AM26" s="101"/>
      <c r="AN26" s="487"/>
      <c r="AO26" s="101"/>
      <c r="AP26" s="101"/>
      <c r="AQ26" s="101"/>
      <c r="AR26" s="101"/>
      <c r="AS26" s="487"/>
      <c r="AT26" s="101"/>
      <c r="AU26" s="101"/>
      <c r="AV26" s="101"/>
      <c r="AW26" s="101"/>
      <c r="AX26" s="487"/>
      <c r="AY26" s="101"/>
      <c r="AZ26" s="101"/>
      <c r="BA26" s="101"/>
      <c r="BB26" s="101"/>
      <c r="BC26" s="487"/>
      <c r="BD26" s="101"/>
      <c r="BE26" s="101"/>
      <c r="BF26" s="101"/>
      <c r="BG26" s="101"/>
      <c r="BH26" s="487"/>
      <c r="BI26" s="101"/>
      <c r="BJ26" s="101"/>
      <c r="BK26" s="101"/>
      <c r="BL26" s="101"/>
      <c r="BM26" s="487"/>
      <c r="BN26" s="101"/>
      <c r="BO26" s="101"/>
      <c r="BP26" s="101"/>
      <c r="BQ26" s="101"/>
      <c r="BR26" s="487"/>
      <c r="BS26" s="101"/>
      <c r="BT26" s="101"/>
      <c r="BU26" s="101"/>
      <c r="BV26" s="101"/>
      <c r="BW26" s="398"/>
      <c r="BZ26" s="411"/>
      <c r="CA26" s="411"/>
    </row>
    <row r="27" spans="1:80" ht="12.75" customHeight="1" x14ac:dyDescent="0.2">
      <c r="A27" s="388"/>
      <c r="B27" s="388"/>
      <c r="D27" s="398" t="s">
        <v>374</v>
      </c>
      <c r="E27" s="487"/>
      <c r="F27" s="388"/>
      <c r="G27" s="101">
        <f>SUM(G28:G31)</f>
        <v>0</v>
      </c>
      <c r="H27" s="101"/>
      <c r="I27" s="101"/>
      <c r="J27" s="487"/>
      <c r="K27" s="101"/>
      <c r="L27" s="101">
        <f>SUM(L28:L31)</f>
        <v>1042197</v>
      </c>
      <c r="M27" s="101"/>
      <c r="N27" s="101"/>
      <c r="O27" s="487"/>
      <c r="P27" s="101"/>
      <c r="Q27" s="101">
        <f>SUM(Q28:Q31)</f>
        <v>1058402</v>
      </c>
      <c r="R27" s="101"/>
      <c r="S27" s="101"/>
      <c r="T27" s="487"/>
      <c r="U27" s="101"/>
      <c r="V27" s="101">
        <f>SUM(V28:V31)</f>
        <v>2103455</v>
      </c>
      <c r="W27" s="101"/>
      <c r="X27" s="101"/>
      <c r="Y27" s="487"/>
      <c r="Z27" s="101"/>
      <c r="AA27" s="101">
        <f>SUM(AA28:AA31)</f>
        <v>2696004</v>
      </c>
      <c r="AB27" s="101"/>
      <c r="AC27" s="101"/>
      <c r="AD27" s="487"/>
      <c r="AE27" s="101"/>
      <c r="AF27" s="101">
        <f>SUM(AF28:AF31)</f>
        <v>3471351</v>
      </c>
      <c r="AG27" s="101"/>
      <c r="AH27" s="101"/>
      <c r="AI27" s="487"/>
      <c r="AJ27" s="101"/>
      <c r="AK27" s="101">
        <f>SUM(AK28:AK31)</f>
        <v>2609265</v>
      </c>
      <c r="AL27" s="101"/>
      <c r="AM27" s="101"/>
      <c r="AN27" s="487"/>
      <c r="AO27" s="101"/>
      <c r="AP27" s="101">
        <f>SUM(AP28:AP31)</f>
        <v>1241741</v>
      </c>
      <c r="AQ27" s="101"/>
      <c r="AR27" s="101"/>
      <c r="AS27" s="487"/>
      <c r="AT27" s="101"/>
      <c r="AU27" s="101">
        <f>SUM(AU28:AU31)</f>
        <v>1223103</v>
      </c>
      <c r="AV27" s="101"/>
      <c r="AW27" s="101"/>
      <c r="AX27" s="487"/>
      <c r="AY27" s="101"/>
      <c r="AZ27" s="101">
        <f>SUM(AZ28:AZ31)</f>
        <v>2240063</v>
      </c>
      <c r="BA27" s="101"/>
      <c r="BB27" s="101"/>
      <c r="BC27" s="487"/>
      <c r="BD27" s="101"/>
      <c r="BE27" s="101">
        <f>SUM(BE28:BE31)</f>
        <v>3007073</v>
      </c>
      <c r="BF27" s="101"/>
      <c r="BG27" s="101"/>
      <c r="BH27" s="487"/>
      <c r="BI27" s="101"/>
      <c r="BJ27" s="101">
        <f>SUM(BJ28:BJ31)</f>
        <v>2383391</v>
      </c>
      <c r="BK27" s="101"/>
      <c r="BL27" s="101"/>
      <c r="BM27" s="487"/>
      <c r="BN27" s="101"/>
      <c r="BO27" s="101">
        <f>SUM(BO28:BO31)</f>
        <v>0</v>
      </c>
      <c r="BP27" s="101"/>
      <c r="BQ27" s="101"/>
      <c r="BR27" s="487"/>
      <c r="BS27" s="101"/>
      <c r="BT27" s="101">
        <f>SUM(BT28:BT31)</f>
        <v>23076045</v>
      </c>
      <c r="BU27" s="101"/>
      <c r="BV27" s="101"/>
      <c r="BW27" s="398"/>
      <c r="BZ27" s="411"/>
      <c r="CA27" s="411"/>
    </row>
    <row r="28" spans="1:80" ht="12.75" customHeight="1" x14ac:dyDescent="0.2">
      <c r="A28" s="388"/>
      <c r="B28" s="388"/>
      <c r="D28" s="398" t="s">
        <v>373</v>
      </c>
      <c r="E28" s="46"/>
      <c r="F28" s="412"/>
      <c r="G28" s="485">
        <v>0</v>
      </c>
      <c r="H28" s="486"/>
      <c r="I28" s="101"/>
      <c r="J28" s="487"/>
      <c r="K28" s="488"/>
      <c r="L28" s="485">
        <f>710000-92043</f>
        <v>617957</v>
      </c>
      <c r="M28" s="486"/>
      <c r="N28" s="101"/>
      <c r="O28" s="487"/>
      <c r="P28" s="488"/>
      <c r="Q28" s="485">
        <f>715000-81485</f>
        <v>633515</v>
      </c>
      <c r="R28" s="486"/>
      <c r="S28" s="101"/>
      <c r="T28" s="487"/>
      <c r="U28" s="488"/>
      <c r="V28" s="485">
        <f>1415000-155031</f>
        <v>1259969</v>
      </c>
      <c r="W28" s="486"/>
      <c r="X28" s="101"/>
      <c r="Y28" s="487"/>
      <c r="Z28" s="488"/>
      <c r="AA28" s="485">
        <f>1815000-207034</f>
        <v>1607966</v>
      </c>
      <c r="AB28" s="486"/>
      <c r="AC28" s="101"/>
      <c r="AD28" s="487"/>
      <c r="AE28" s="488"/>
      <c r="AF28" s="485">
        <f>2350000-217256</f>
        <v>2132744</v>
      </c>
      <c r="AG28" s="486"/>
      <c r="AH28" s="101"/>
      <c r="AI28" s="487"/>
      <c r="AJ28" s="488"/>
      <c r="AK28" s="485">
        <f>1770000-89469</f>
        <v>1680531</v>
      </c>
      <c r="AL28" s="486"/>
      <c r="AM28" s="101"/>
      <c r="AN28" s="487"/>
      <c r="AO28" s="488"/>
      <c r="AP28" s="485">
        <f>835000-51703</f>
        <v>783297</v>
      </c>
      <c r="AQ28" s="486"/>
      <c r="AR28" s="101"/>
      <c r="AS28" s="487"/>
      <c r="AT28" s="488"/>
      <c r="AU28" s="485">
        <f>815000-38172</f>
        <v>776828</v>
      </c>
      <c r="AV28" s="486"/>
      <c r="AW28" s="101"/>
      <c r="AX28" s="487"/>
      <c r="AY28" s="488"/>
      <c r="AZ28" s="485">
        <f>1490000-42009</f>
        <v>1447991</v>
      </c>
      <c r="BA28" s="486"/>
      <c r="BB28" s="101"/>
      <c r="BC28" s="487"/>
      <c r="BD28" s="488"/>
      <c r="BE28" s="485">
        <f>1995000-55951</f>
        <v>1939049</v>
      </c>
      <c r="BF28" s="486"/>
      <c r="BG28" s="101"/>
      <c r="BH28" s="487"/>
      <c r="BI28" s="488"/>
      <c r="BJ28" s="485">
        <f>1580000-30063</f>
        <v>1549937</v>
      </c>
      <c r="BK28" s="486"/>
      <c r="BL28" s="101"/>
      <c r="BM28" s="487"/>
      <c r="BN28" s="488"/>
      <c r="BO28" s="485">
        <v>0</v>
      </c>
      <c r="BP28" s="486"/>
      <c r="BQ28" s="101"/>
      <c r="BR28" s="487"/>
      <c r="BS28" s="488"/>
      <c r="BT28" s="485">
        <f>SUM(L28:BO28)</f>
        <v>14429784</v>
      </c>
      <c r="BU28" s="486"/>
      <c r="BV28" s="101"/>
      <c r="BW28" s="398"/>
      <c r="BZ28" s="411"/>
      <c r="CA28" s="411"/>
    </row>
    <row r="29" spans="1:80" ht="12.75" customHeight="1" x14ac:dyDescent="0.2">
      <c r="A29" s="388"/>
      <c r="B29" s="388"/>
      <c r="D29" s="398" t="s">
        <v>375</v>
      </c>
      <c r="E29" s="487"/>
      <c r="F29" s="404"/>
      <c r="G29" s="101">
        <v>0</v>
      </c>
      <c r="H29" s="49"/>
      <c r="I29" s="101"/>
      <c r="J29" s="487"/>
      <c r="K29" s="487"/>
      <c r="L29" s="101">
        <v>92043</v>
      </c>
      <c r="M29" s="49"/>
      <c r="N29" s="101"/>
      <c r="O29" s="487"/>
      <c r="P29" s="487"/>
      <c r="Q29" s="101">
        <v>81485</v>
      </c>
      <c r="R29" s="49"/>
      <c r="S29" s="101"/>
      <c r="T29" s="487"/>
      <c r="U29" s="487"/>
      <c r="V29" s="101">
        <v>155031</v>
      </c>
      <c r="W29" s="49"/>
      <c r="X29" s="101"/>
      <c r="Y29" s="487"/>
      <c r="Z29" s="487"/>
      <c r="AA29" s="101">
        <v>207034</v>
      </c>
      <c r="AB29" s="49"/>
      <c r="AC29" s="101"/>
      <c r="AD29" s="487"/>
      <c r="AE29" s="487"/>
      <c r="AF29" s="101">
        <v>217256</v>
      </c>
      <c r="AG29" s="49"/>
      <c r="AH29" s="101"/>
      <c r="AI29" s="487"/>
      <c r="AJ29" s="487"/>
      <c r="AK29" s="101">
        <v>89469</v>
      </c>
      <c r="AL29" s="49"/>
      <c r="AM29" s="101"/>
      <c r="AN29" s="487"/>
      <c r="AO29" s="487"/>
      <c r="AP29" s="101">
        <v>51703</v>
      </c>
      <c r="AQ29" s="49"/>
      <c r="AR29" s="101"/>
      <c r="AS29" s="487"/>
      <c r="AT29" s="487"/>
      <c r="AU29" s="101">
        <v>38172</v>
      </c>
      <c r="AV29" s="49"/>
      <c r="AW29" s="101"/>
      <c r="AX29" s="487"/>
      <c r="AY29" s="487"/>
      <c r="AZ29" s="101">
        <v>42009</v>
      </c>
      <c r="BA29" s="49"/>
      <c r="BB29" s="101"/>
      <c r="BC29" s="487"/>
      <c r="BD29" s="487"/>
      <c r="BE29" s="101">
        <v>55951</v>
      </c>
      <c r="BF29" s="49"/>
      <c r="BG29" s="101"/>
      <c r="BH29" s="487"/>
      <c r="BI29" s="487"/>
      <c r="BJ29" s="101">
        <v>30063</v>
      </c>
      <c r="BK29" s="49"/>
      <c r="BL29" s="101"/>
      <c r="BM29" s="487"/>
      <c r="BN29" s="487"/>
      <c r="BO29" s="101">
        <v>0</v>
      </c>
      <c r="BP29" s="49"/>
      <c r="BQ29" s="101"/>
      <c r="BR29" s="487"/>
      <c r="BS29" s="487"/>
      <c r="BT29" s="101">
        <f>SUM(L29:BO29)</f>
        <v>1060216</v>
      </c>
      <c r="BU29" s="49"/>
      <c r="BV29" s="101"/>
      <c r="BW29" s="398"/>
      <c r="BZ29" s="411"/>
      <c r="CA29" s="411"/>
    </row>
    <row r="30" spans="1:80" ht="12.75" customHeight="1" x14ac:dyDescent="0.2">
      <c r="A30" s="388"/>
      <c r="B30" s="388"/>
      <c r="D30" s="398" t="s">
        <v>376</v>
      </c>
      <c r="E30" s="487"/>
      <c r="F30" s="404"/>
      <c r="G30" s="101">
        <v>0</v>
      </c>
      <c r="H30" s="49"/>
      <c r="I30" s="101"/>
      <c r="J30" s="487"/>
      <c r="K30" s="487"/>
      <c r="L30" s="101">
        <v>0</v>
      </c>
      <c r="M30" s="49"/>
      <c r="N30" s="101"/>
      <c r="O30" s="487"/>
      <c r="P30" s="487"/>
      <c r="Q30" s="101">
        <v>0</v>
      </c>
      <c r="R30" s="49"/>
      <c r="S30" s="101"/>
      <c r="T30" s="487"/>
      <c r="U30" s="487"/>
      <c r="V30" s="101">
        <v>0</v>
      </c>
      <c r="W30" s="49"/>
      <c r="X30" s="101"/>
      <c r="Y30" s="487"/>
      <c r="Z30" s="487"/>
      <c r="AA30" s="101">
        <v>0</v>
      </c>
      <c r="AB30" s="49"/>
      <c r="AC30" s="101"/>
      <c r="AD30" s="487"/>
      <c r="AE30" s="487"/>
      <c r="AF30" s="101">
        <v>0</v>
      </c>
      <c r="AG30" s="49"/>
      <c r="AH30" s="101"/>
      <c r="AI30" s="487"/>
      <c r="AJ30" s="487"/>
      <c r="AK30" s="101">
        <v>0</v>
      </c>
      <c r="AL30" s="49"/>
      <c r="AM30" s="101"/>
      <c r="AN30" s="487"/>
      <c r="AO30" s="487"/>
      <c r="AP30" s="101">
        <v>0</v>
      </c>
      <c r="AQ30" s="49"/>
      <c r="AR30" s="101"/>
      <c r="AS30" s="487"/>
      <c r="AT30" s="487"/>
      <c r="AU30" s="101">
        <v>0</v>
      </c>
      <c r="AV30" s="49"/>
      <c r="AW30" s="101"/>
      <c r="AX30" s="487"/>
      <c r="AY30" s="487"/>
      <c r="AZ30" s="101">
        <v>0</v>
      </c>
      <c r="BA30" s="49"/>
      <c r="BB30" s="101"/>
      <c r="BC30" s="487"/>
      <c r="BD30" s="487"/>
      <c r="BE30" s="101">
        <v>0</v>
      </c>
      <c r="BF30" s="49"/>
      <c r="BG30" s="101"/>
      <c r="BH30" s="487"/>
      <c r="BI30" s="487"/>
      <c r="BJ30" s="101">
        <v>0</v>
      </c>
      <c r="BK30" s="49"/>
      <c r="BL30" s="101"/>
      <c r="BM30" s="487"/>
      <c r="BN30" s="487"/>
      <c r="BO30" s="101">
        <v>0</v>
      </c>
      <c r="BP30" s="49"/>
      <c r="BQ30" s="101"/>
      <c r="BR30" s="487"/>
      <c r="BS30" s="487"/>
      <c r="BT30" s="101">
        <f>SUM(L30:BO30)</f>
        <v>0</v>
      </c>
      <c r="BU30" s="49"/>
      <c r="BV30" s="101"/>
      <c r="BW30" s="398"/>
      <c r="BZ30" s="411"/>
      <c r="CA30" s="411"/>
    </row>
    <row r="31" spans="1:80" ht="12.75" customHeight="1" x14ac:dyDescent="0.2">
      <c r="A31" s="388"/>
      <c r="B31" s="388"/>
      <c r="D31" s="398" t="s">
        <v>377</v>
      </c>
      <c r="E31" s="487"/>
      <c r="F31" s="427"/>
      <c r="G31" s="496">
        <v>0</v>
      </c>
      <c r="H31" s="90"/>
      <c r="I31" s="101"/>
      <c r="J31" s="487"/>
      <c r="K31" s="497"/>
      <c r="L31" s="496">
        <v>332197</v>
      </c>
      <c r="M31" s="90"/>
      <c r="N31" s="101"/>
      <c r="O31" s="487"/>
      <c r="P31" s="497"/>
      <c r="Q31" s="496">
        <v>343402</v>
      </c>
      <c r="R31" s="90"/>
      <c r="S31" s="101"/>
      <c r="T31" s="487"/>
      <c r="U31" s="497"/>
      <c r="V31" s="496">
        <v>688455</v>
      </c>
      <c r="W31" s="90"/>
      <c r="X31" s="101"/>
      <c r="Y31" s="487"/>
      <c r="Z31" s="497"/>
      <c r="AA31" s="496">
        <v>881004</v>
      </c>
      <c r="AB31" s="90"/>
      <c r="AC31" s="101"/>
      <c r="AD31" s="487"/>
      <c r="AE31" s="497"/>
      <c r="AF31" s="496">
        <v>1121351</v>
      </c>
      <c r="AG31" s="90"/>
      <c r="AH31" s="101"/>
      <c r="AI31" s="487"/>
      <c r="AJ31" s="497"/>
      <c r="AK31" s="496">
        <v>839265</v>
      </c>
      <c r="AL31" s="90"/>
      <c r="AM31" s="101"/>
      <c r="AN31" s="487"/>
      <c r="AO31" s="497"/>
      <c r="AP31" s="496">
        <v>406741</v>
      </c>
      <c r="AQ31" s="90"/>
      <c r="AR31" s="101"/>
      <c r="AS31" s="487"/>
      <c r="AT31" s="497"/>
      <c r="AU31" s="496">
        <v>408103</v>
      </c>
      <c r="AV31" s="90"/>
      <c r="AW31" s="101"/>
      <c r="AX31" s="487"/>
      <c r="AY31" s="497"/>
      <c r="AZ31" s="496">
        <v>750063</v>
      </c>
      <c r="BA31" s="90"/>
      <c r="BB31" s="101"/>
      <c r="BC31" s="487"/>
      <c r="BD31" s="497"/>
      <c r="BE31" s="496">
        <v>1012073</v>
      </c>
      <c r="BF31" s="90"/>
      <c r="BG31" s="101"/>
      <c r="BH31" s="487"/>
      <c r="BI31" s="497"/>
      <c r="BJ31" s="496">
        <v>803391</v>
      </c>
      <c r="BK31" s="90"/>
      <c r="BL31" s="101"/>
      <c r="BM31" s="487"/>
      <c r="BN31" s="497"/>
      <c r="BO31" s="496">
        <v>0</v>
      </c>
      <c r="BP31" s="90"/>
      <c r="BQ31" s="101"/>
      <c r="BR31" s="487"/>
      <c r="BS31" s="497"/>
      <c r="BT31" s="496">
        <f>SUM(L31:BO31)</f>
        <v>7586045</v>
      </c>
      <c r="BU31" s="90"/>
      <c r="BV31" s="101"/>
      <c r="BW31" s="398"/>
      <c r="BZ31" s="411"/>
      <c r="CA31" s="411"/>
    </row>
    <row r="32" spans="1:80" ht="12.75" x14ac:dyDescent="0.2">
      <c r="A32" s="388"/>
      <c r="B32" s="388"/>
      <c r="D32" s="398"/>
      <c r="E32" s="487"/>
      <c r="F32" s="388"/>
      <c r="G32" s="101"/>
      <c r="H32" s="101"/>
      <c r="I32" s="101"/>
      <c r="J32" s="487"/>
      <c r="K32" s="101"/>
      <c r="L32" s="101"/>
      <c r="M32" s="101"/>
      <c r="N32" s="101"/>
      <c r="O32" s="487"/>
      <c r="P32" s="101"/>
      <c r="Q32" s="101"/>
      <c r="R32" s="101"/>
      <c r="S32" s="101"/>
      <c r="T32" s="487"/>
      <c r="U32" s="101"/>
      <c r="V32" s="101"/>
      <c r="W32" s="101"/>
      <c r="X32" s="101"/>
      <c r="Y32" s="487"/>
      <c r="Z32" s="101"/>
      <c r="AA32" s="101"/>
      <c r="AB32" s="101"/>
      <c r="AC32" s="101"/>
      <c r="AD32" s="487"/>
      <c r="AE32" s="101"/>
      <c r="AF32" s="101"/>
      <c r="AG32" s="101"/>
      <c r="AH32" s="101"/>
      <c r="AI32" s="487"/>
      <c r="AJ32" s="101"/>
      <c r="AK32" s="101"/>
      <c r="AL32" s="101"/>
      <c r="AM32" s="101"/>
      <c r="AN32" s="487"/>
      <c r="AO32" s="101"/>
      <c r="AP32" s="101"/>
      <c r="AQ32" s="101"/>
      <c r="AR32" s="101"/>
      <c r="AS32" s="487"/>
      <c r="AT32" s="101"/>
      <c r="AU32" s="101"/>
      <c r="AV32" s="101"/>
      <c r="AW32" s="101"/>
      <c r="AX32" s="487"/>
      <c r="AY32" s="101"/>
      <c r="AZ32" s="101"/>
      <c r="BA32" s="101"/>
      <c r="BB32" s="101"/>
      <c r="BC32" s="487"/>
      <c r="BD32" s="101"/>
      <c r="BE32" s="101"/>
      <c r="BF32" s="101"/>
      <c r="BG32" s="101"/>
      <c r="BH32" s="487"/>
      <c r="BI32" s="101"/>
      <c r="BJ32" s="101"/>
      <c r="BK32" s="101"/>
      <c r="BL32" s="101"/>
      <c r="BM32" s="487"/>
      <c r="BN32" s="101"/>
      <c r="BO32" s="101"/>
      <c r="BP32" s="101"/>
      <c r="BQ32" s="101"/>
      <c r="BR32" s="487"/>
      <c r="BS32" s="101"/>
      <c r="BT32" s="101"/>
      <c r="BU32" s="101"/>
      <c r="BV32" s="101"/>
      <c r="BW32" s="398"/>
      <c r="BZ32" s="411"/>
      <c r="CA32" s="411"/>
    </row>
    <row r="33" spans="1:79" ht="12.75" customHeight="1" x14ac:dyDescent="0.2">
      <c r="A33" s="388"/>
      <c r="B33" s="388"/>
      <c r="D33" s="398" t="s">
        <v>378</v>
      </c>
      <c r="E33" s="487"/>
      <c r="F33" s="388"/>
      <c r="G33" s="101">
        <f>SUM(G34:G37)</f>
        <v>0</v>
      </c>
      <c r="H33" s="101"/>
      <c r="I33" s="101"/>
      <c r="J33" s="487"/>
      <c r="K33" s="101"/>
      <c r="L33" s="101">
        <f>SUM(L34:L37)</f>
        <v>785463</v>
      </c>
      <c r="M33" s="101"/>
      <c r="N33" s="101"/>
      <c r="O33" s="487"/>
      <c r="P33" s="101"/>
      <c r="Q33" s="101">
        <f>SUM(Q34:Q37)</f>
        <v>1376442.4509999999</v>
      </c>
      <c r="R33" s="101"/>
      <c r="S33" s="101"/>
      <c r="T33" s="487"/>
      <c r="U33" s="101"/>
      <c r="V33" s="101">
        <f>SUM(V34:V37)</f>
        <v>2570775</v>
      </c>
      <c r="W33" s="101"/>
      <c r="X33" s="101"/>
      <c r="Y33" s="487"/>
      <c r="Z33" s="101"/>
      <c r="AA33" s="101">
        <f>SUM(AA34:AA37)</f>
        <v>3551900</v>
      </c>
      <c r="AB33" s="101"/>
      <c r="AC33" s="101"/>
      <c r="AD33" s="487"/>
      <c r="AE33" s="101"/>
      <c r="AF33" s="101">
        <f>SUM(AF34:AF37)</f>
        <v>893093</v>
      </c>
      <c r="AG33" s="101"/>
      <c r="AH33" s="101"/>
      <c r="AI33" s="487"/>
      <c r="AJ33" s="101"/>
      <c r="AK33" s="101">
        <f>SUM(AK34:AK37)</f>
        <v>4673396</v>
      </c>
      <c r="AL33" s="101"/>
      <c r="AM33" s="101"/>
      <c r="AN33" s="487"/>
      <c r="AO33" s="101"/>
      <c r="AP33" s="101">
        <f>SUM(AP34:AP37)</f>
        <v>2503075</v>
      </c>
      <c r="AQ33" s="101"/>
      <c r="AR33" s="101"/>
      <c r="AS33" s="487"/>
      <c r="AT33" s="101"/>
      <c r="AU33" s="101">
        <f>SUM(AU34:AU37)</f>
        <v>2153351</v>
      </c>
      <c r="AV33" s="101"/>
      <c r="AW33" s="101"/>
      <c r="AX33" s="487"/>
      <c r="AY33" s="101"/>
      <c r="AZ33" s="101">
        <f>SUM(AZ34:AZ37)</f>
        <v>2186436</v>
      </c>
      <c r="BA33" s="101"/>
      <c r="BB33" s="101"/>
      <c r="BC33" s="487"/>
      <c r="BD33" s="101"/>
      <c r="BE33" s="101">
        <f>SUM(BE34:BE37)</f>
        <v>482233</v>
      </c>
      <c r="BF33" s="101"/>
      <c r="BG33" s="101"/>
      <c r="BH33" s="487"/>
      <c r="BI33" s="101"/>
      <c r="BJ33" s="101">
        <f>SUM(BJ34:BJ37)</f>
        <v>1093644</v>
      </c>
      <c r="BK33" s="101"/>
      <c r="BL33" s="101"/>
      <c r="BM33" s="487"/>
      <c r="BN33" s="101"/>
      <c r="BO33" s="101">
        <f>SUM(BO34:BO37)</f>
        <v>2793885</v>
      </c>
      <c r="BP33" s="101"/>
      <c r="BQ33" s="101"/>
      <c r="BR33" s="487"/>
      <c r="BS33" s="101"/>
      <c r="BT33" s="101">
        <f>SUM(BT34:BT37)</f>
        <v>25063693.450999998</v>
      </c>
      <c r="BU33" s="101"/>
      <c r="BV33" s="101"/>
      <c r="BW33" s="398"/>
      <c r="BZ33" s="411"/>
      <c r="CA33" s="411"/>
    </row>
    <row r="34" spans="1:79" ht="12.75" customHeight="1" x14ac:dyDescent="0.2">
      <c r="A34" s="388"/>
      <c r="B34" s="388"/>
      <c r="D34" s="398" t="s">
        <v>373</v>
      </c>
      <c r="E34" s="487"/>
      <c r="F34" s="412"/>
      <c r="G34" s="485">
        <v>0</v>
      </c>
      <c r="H34" s="486"/>
      <c r="I34" s="101"/>
      <c r="J34" s="487"/>
      <c r="K34" s="488"/>
      <c r="L34" s="485">
        <f>535000-248436</f>
        <v>286564</v>
      </c>
      <c r="M34" s="486"/>
      <c r="N34" s="101"/>
      <c r="O34" s="487"/>
      <c r="P34" s="488"/>
      <c r="Q34" s="485">
        <f>930000-392511</f>
        <v>537489</v>
      </c>
      <c r="R34" s="486"/>
      <c r="S34" s="101"/>
      <c r="T34" s="487"/>
      <c r="U34" s="488"/>
      <c r="V34" s="485">
        <f>1730000-716748</f>
        <v>1013252</v>
      </c>
      <c r="W34" s="486"/>
      <c r="X34" s="101"/>
      <c r="Y34" s="487"/>
      <c r="Z34" s="488"/>
      <c r="AA34" s="485">
        <f>2390000-1077832</f>
        <v>1312168</v>
      </c>
      <c r="AB34" s="486"/>
      <c r="AC34" s="101"/>
      <c r="AD34" s="487"/>
      <c r="AE34" s="488"/>
      <c r="AF34" s="485">
        <f>605000-265407</f>
        <v>339593</v>
      </c>
      <c r="AG34" s="486"/>
      <c r="AH34" s="101"/>
      <c r="AI34" s="487"/>
      <c r="AJ34" s="488"/>
      <c r="AK34" s="485">
        <f>3165000-1330925</f>
        <v>1834075</v>
      </c>
      <c r="AL34" s="486"/>
      <c r="AM34" s="101"/>
      <c r="AN34" s="487"/>
      <c r="AO34" s="488"/>
      <c r="AP34" s="485">
        <f>1680000-749012</f>
        <v>930988</v>
      </c>
      <c r="AQ34" s="486"/>
      <c r="AR34" s="101"/>
      <c r="AS34" s="487"/>
      <c r="AT34" s="488"/>
      <c r="AU34" s="485">
        <f>1435000-630623</f>
        <v>804377</v>
      </c>
      <c r="AV34" s="486"/>
      <c r="AW34" s="101"/>
      <c r="AX34" s="487"/>
      <c r="AY34" s="488"/>
      <c r="AZ34" s="485">
        <f>1455000-613374</f>
        <v>841626</v>
      </c>
      <c r="BA34" s="486"/>
      <c r="BB34" s="101"/>
      <c r="BC34" s="487"/>
      <c r="BD34" s="488"/>
      <c r="BE34" s="485">
        <f>320000-125783</f>
        <v>194217</v>
      </c>
      <c r="BF34" s="486"/>
      <c r="BG34" s="101"/>
      <c r="BH34" s="487"/>
      <c r="BI34" s="488"/>
      <c r="BJ34" s="485">
        <f>725000-268293</f>
        <v>456707</v>
      </c>
      <c r="BK34" s="486"/>
      <c r="BL34" s="101"/>
      <c r="BM34" s="487"/>
      <c r="BN34" s="488"/>
      <c r="BO34" s="485">
        <f>1850000-673794</f>
        <v>1176206</v>
      </c>
      <c r="BP34" s="486"/>
      <c r="BQ34" s="101"/>
      <c r="BR34" s="487"/>
      <c r="BS34" s="488"/>
      <c r="BT34" s="485">
        <f>SUM(L34:BO34)</f>
        <v>9727262</v>
      </c>
      <c r="BU34" s="486"/>
      <c r="BV34" s="101"/>
      <c r="BW34" s="398"/>
      <c r="BZ34" s="411"/>
      <c r="CA34" s="411"/>
    </row>
    <row r="35" spans="1:79" ht="12.75" customHeight="1" x14ac:dyDescent="0.2">
      <c r="A35" s="388"/>
      <c r="B35" s="388"/>
      <c r="D35" s="398" t="s">
        <v>375</v>
      </c>
      <c r="E35" s="487"/>
      <c r="F35" s="404"/>
      <c r="G35" s="101">
        <v>0</v>
      </c>
      <c r="H35" s="49"/>
      <c r="I35" s="101"/>
      <c r="J35" s="487"/>
      <c r="K35" s="487"/>
      <c r="L35" s="101">
        <v>248436</v>
      </c>
      <c r="M35" s="49"/>
      <c r="N35" s="101"/>
      <c r="O35" s="487"/>
      <c r="P35" s="487"/>
      <c r="Q35" s="101">
        <v>392511</v>
      </c>
      <c r="R35" s="49"/>
      <c r="S35" s="101"/>
      <c r="T35" s="487"/>
      <c r="U35" s="487"/>
      <c r="V35" s="101">
        <v>716748</v>
      </c>
      <c r="W35" s="49"/>
      <c r="X35" s="101"/>
      <c r="Y35" s="487"/>
      <c r="Z35" s="487"/>
      <c r="AA35" s="101">
        <v>1077832</v>
      </c>
      <c r="AB35" s="49"/>
      <c r="AC35" s="101"/>
      <c r="AD35" s="487"/>
      <c r="AE35" s="487"/>
      <c r="AF35" s="101">
        <v>265407</v>
      </c>
      <c r="AG35" s="49"/>
      <c r="AH35" s="101"/>
      <c r="AI35" s="487"/>
      <c r="AJ35" s="487"/>
      <c r="AK35" s="101">
        <v>1330925</v>
      </c>
      <c r="AL35" s="49"/>
      <c r="AM35" s="101"/>
      <c r="AN35" s="487"/>
      <c r="AO35" s="487"/>
      <c r="AP35" s="101">
        <v>749012</v>
      </c>
      <c r="AQ35" s="49"/>
      <c r="AR35" s="101"/>
      <c r="AS35" s="487"/>
      <c r="AT35" s="487"/>
      <c r="AU35" s="101">
        <v>630623</v>
      </c>
      <c r="AV35" s="49"/>
      <c r="AW35" s="101"/>
      <c r="AX35" s="487"/>
      <c r="AY35" s="487"/>
      <c r="AZ35" s="101">
        <v>613374</v>
      </c>
      <c r="BA35" s="49"/>
      <c r="BB35" s="101"/>
      <c r="BC35" s="487"/>
      <c r="BD35" s="487"/>
      <c r="BE35" s="101">
        <v>125783</v>
      </c>
      <c r="BF35" s="49"/>
      <c r="BG35" s="101"/>
      <c r="BH35" s="487"/>
      <c r="BI35" s="487"/>
      <c r="BJ35" s="101">
        <v>268293</v>
      </c>
      <c r="BK35" s="49"/>
      <c r="BL35" s="101"/>
      <c r="BM35" s="487"/>
      <c r="BN35" s="487"/>
      <c r="BO35" s="101">
        <v>673794</v>
      </c>
      <c r="BP35" s="49"/>
      <c r="BQ35" s="101"/>
      <c r="BR35" s="487"/>
      <c r="BS35" s="487"/>
      <c r="BT35" s="101">
        <f>SUM(L35:BO35)</f>
        <v>7092738</v>
      </c>
      <c r="BU35" s="49"/>
      <c r="BV35" s="101"/>
      <c r="BW35" s="398"/>
      <c r="BZ35" s="411"/>
      <c r="CA35" s="411"/>
    </row>
    <row r="36" spans="1:79" ht="12.75" customHeight="1" x14ac:dyDescent="0.2">
      <c r="A36" s="388"/>
      <c r="B36" s="388"/>
      <c r="D36" s="398" t="s">
        <v>376</v>
      </c>
      <c r="E36" s="487"/>
      <c r="F36" s="404"/>
      <c r="G36" s="101">
        <v>0</v>
      </c>
      <c r="H36" s="49"/>
      <c r="I36" s="101"/>
      <c r="J36" s="487"/>
      <c r="K36" s="487"/>
      <c r="L36" s="101">
        <v>0</v>
      </c>
      <c r="M36" s="49"/>
      <c r="N36" s="101"/>
      <c r="O36" s="487"/>
      <c r="P36" s="487"/>
      <c r="Q36" s="101">
        <v>0</v>
      </c>
      <c r="R36" s="49"/>
      <c r="S36" s="101"/>
      <c r="T36" s="487"/>
      <c r="U36" s="487"/>
      <c r="V36" s="101">
        <v>0</v>
      </c>
      <c r="W36" s="49"/>
      <c r="X36" s="101"/>
      <c r="Y36" s="487"/>
      <c r="Z36" s="487"/>
      <c r="AA36" s="101">
        <v>0</v>
      </c>
      <c r="AB36" s="49"/>
      <c r="AC36" s="101"/>
      <c r="AD36" s="487"/>
      <c r="AE36" s="487"/>
      <c r="AF36" s="101">
        <v>0</v>
      </c>
      <c r="AG36" s="49"/>
      <c r="AH36" s="101"/>
      <c r="AI36" s="487"/>
      <c r="AJ36" s="487"/>
      <c r="AK36" s="101">
        <v>0</v>
      </c>
      <c r="AL36" s="49"/>
      <c r="AM36" s="101"/>
      <c r="AN36" s="487"/>
      <c r="AO36" s="487"/>
      <c r="AP36" s="101">
        <v>0</v>
      </c>
      <c r="AQ36" s="49"/>
      <c r="AR36" s="101"/>
      <c r="AS36" s="487"/>
      <c r="AT36" s="487"/>
      <c r="AU36" s="101">
        <v>0</v>
      </c>
      <c r="AV36" s="49"/>
      <c r="AW36" s="101"/>
      <c r="AX36" s="487"/>
      <c r="AY36" s="487"/>
      <c r="AZ36" s="101">
        <v>0</v>
      </c>
      <c r="BA36" s="49"/>
      <c r="BB36" s="101"/>
      <c r="BC36" s="487"/>
      <c r="BD36" s="487"/>
      <c r="BE36" s="101">
        <v>0</v>
      </c>
      <c r="BF36" s="49"/>
      <c r="BG36" s="101"/>
      <c r="BH36" s="487"/>
      <c r="BI36" s="487"/>
      <c r="BJ36" s="101">
        <v>0</v>
      </c>
      <c r="BK36" s="49"/>
      <c r="BL36" s="101"/>
      <c r="BM36" s="487"/>
      <c r="BN36" s="487"/>
      <c r="BO36" s="101">
        <v>0</v>
      </c>
      <c r="BP36" s="49"/>
      <c r="BQ36" s="101"/>
      <c r="BR36" s="487"/>
      <c r="BS36" s="487"/>
      <c r="BT36" s="101">
        <f>SUM(L36:BO36)</f>
        <v>0</v>
      </c>
      <c r="BU36" s="49"/>
      <c r="BV36" s="101"/>
      <c r="BW36" s="398"/>
      <c r="BZ36" s="411"/>
      <c r="CA36" s="411"/>
    </row>
    <row r="37" spans="1:79" ht="12.75" customHeight="1" x14ac:dyDescent="0.2">
      <c r="A37" s="388"/>
      <c r="B37" s="388"/>
      <c r="D37" s="398" t="s">
        <v>377</v>
      </c>
      <c r="E37" s="487"/>
      <c r="F37" s="427"/>
      <c r="G37" s="496">
        <v>0</v>
      </c>
      <c r="H37" s="90"/>
      <c r="I37" s="101"/>
      <c r="J37" s="487"/>
      <c r="K37" s="497"/>
      <c r="L37" s="496">
        <v>250463</v>
      </c>
      <c r="M37" s="90"/>
      <c r="N37" s="101"/>
      <c r="O37" s="487"/>
      <c r="P37" s="497"/>
      <c r="Q37" s="496">
        <v>446442.451</v>
      </c>
      <c r="R37" s="90"/>
      <c r="S37" s="101"/>
      <c r="T37" s="487"/>
      <c r="U37" s="497"/>
      <c r="V37" s="496">
        <v>840775</v>
      </c>
      <c r="W37" s="90"/>
      <c r="X37" s="101"/>
      <c r="Y37" s="487"/>
      <c r="Z37" s="497"/>
      <c r="AA37" s="496">
        <v>1161900</v>
      </c>
      <c r="AB37" s="90"/>
      <c r="AC37" s="101"/>
      <c r="AD37" s="487"/>
      <c r="AE37" s="497"/>
      <c r="AF37" s="496">
        <v>288093</v>
      </c>
      <c r="AG37" s="90"/>
      <c r="AH37" s="101"/>
      <c r="AI37" s="487"/>
      <c r="AJ37" s="497"/>
      <c r="AK37" s="496">
        <v>1508396</v>
      </c>
      <c r="AL37" s="90"/>
      <c r="AM37" s="101"/>
      <c r="AN37" s="487"/>
      <c r="AO37" s="497"/>
      <c r="AP37" s="496">
        <v>823075</v>
      </c>
      <c r="AQ37" s="90"/>
      <c r="AR37" s="101"/>
      <c r="AS37" s="487"/>
      <c r="AT37" s="497"/>
      <c r="AU37" s="496">
        <v>718351</v>
      </c>
      <c r="AV37" s="90"/>
      <c r="AW37" s="101"/>
      <c r="AX37" s="487"/>
      <c r="AY37" s="497"/>
      <c r="AZ37" s="496">
        <v>731436</v>
      </c>
      <c r="BA37" s="90"/>
      <c r="BB37" s="101"/>
      <c r="BC37" s="487"/>
      <c r="BD37" s="497"/>
      <c r="BE37" s="496">
        <v>162233</v>
      </c>
      <c r="BF37" s="90"/>
      <c r="BG37" s="101"/>
      <c r="BH37" s="487"/>
      <c r="BI37" s="497"/>
      <c r="BJ37" s="496">
        <v>368644</v>
      </c>
      <c r="BK37" s="90"/>
      <c r="BL37" s="101"/>
      <c r="BM37" s="487"/>
      <c r="BN37" s="497"/>
      <c r="BO37" s="496">
        <v>943885</v>
      </c>
      <c r="BP37" s="90"/>
      <c r="BQ37" s="101"/>
      <c r="BR37" s="487"/>
      <c r="BS37" s="497"/>
      <c r="BT37" s="496">
        <f>SUM(L37:BO37)</f>
        <v>8243693.4509999994</v>
      </c>
      <c r="BU37" s="90"/>
      <c r="BV37" s="101"/>
      <c r="BW37" s="398"/>
      <c r="BZ37" s="411"/>
      <c r="CA37" s="411"/>
    </row>
    <row r="38" spans="1:79" ht="12.75" customHeight="1" x14ac:dyDescent="0.2">
      <c r="A38" s="388"/>
      <c r="B38" s="388"/>
      <c r="D38" s="398"/>
      <c r="E38" s="487"/>
      <c r="F38" s="388"/>
      <c r="G38" s="101"/>
      <c r="H38" s="101"/>
      <c r="I38" s="101"/>
      <c r="J38" s="487"/>
      <c r="K38" s="101"/>
      <c r="L38" s="101"/>
      <c r="M38" s="101"/>
      <c r="N38" s="101"/>
      <c r="O38" s="487"/>
      <c r="P38" s="101"/>
      <c r="Q38" s="101"/>
      <c r="R38" s="101"/>
      <c r="S38" s="101"/>
      <c r="T38" s="487"/>
      <c r="U38" s="101"/>
      <c r="V38" s="101"/>
      <c r="W38" s="101"/>
      <c r="X38" s="101"/>
      <c r="Y38" s="487"/>
      <c r="Z38" s="101"/>
      <c r="AA38" s="101"/>
      <c r="AB38" s="101"/>
      <c r="AC38" s="101"/>
      <c r="AD38" s="487"/>
      <c r="AE38" s="101"/>
      <c r="AF38" s="101"/>
      <c r="AG38" s="101"/>
      <c r="AH38" s="101"/>
      <c r="AI38" s="487"/>
      <c r="AJ38" s="101"/>
      <c r="AK38" s="101"/>
      <c r="AL38" s="101"/>
      <c r="AM38" s="101"/>
      <c r="AN38" s="487"/>
      <c r="AO38" s="101"/>
      <c r="AP38" s="101"/>
      <c r="AQ38" s="101"/>
      <c r="AR38" s="101"/>
      <c r="AS38" s="487"/>
      <c r="AT38" s="101"/>
      <c r="AU38" s="101"/>
      <c r="AV38" s="101"/>
      <c r="AW38" s="101"/>
      <c r="AX38" s="487"/>
      <c r="AY38" s="101"/>
      <c r="AZ38" s="101"/>
      <c r="BA38" s="101"/>
      <c r="BB38" s="101"/>
      <c r="BC38" s="487"/>
      <c r="BD38" s="101"/>
      <c r="BE38" s="101"/>
      <c r="BF38" s="101"/>
      <c r="BG38" s="101"/>
      <c r="BH38" s="487"/>
      <c r="BI38" s="101"/>
      <c r="BJ38" s="101"/>
      <c r="BK38" s="101"/>
      <c r="BL38" s="101"/>
      <c r="BM38" s="487"/>
      <c r="BN38" s="101"/>
      <c r="BO38" s="101"/>
      <c r="BP38" s="101"/>
      <c r="BQ38" s="101"/>
      <c r="BR38" s="487"/>
      <c r="BS38" s="101"/>
      <c r="BT38" s="101"/>
      <c r="BU38" s="101"/>
      <c r="BV38" s="101"/>
      <c r="BW38" s="398"/>
      <c r="BZ38" s="411"/>
      <c r="CA38" s="411"/>
    </row>
    <row r="39" spans="1:79" ht="12.75" customHeight="1" x14ac:dyDescent="0.2">
      <c r="A39" s="388"/>
      <c r="B39" s="388"/>
      <c r="D39" s="398" t="s">
        <v>379</v>
      </c>
      <c r="E39" s="487"/>
      <c r="F39" s="388"/>
      <c r="G39" s="101">
        <f>SUM(G40:G43)</f>
        <v>0</v>
      </c>
      <c r="H39" s="101"/>
      <c r="I39" s="101"/>
      <c r="J39" s="487"/>
      <c r="K39" s="101"/>
      <c r="L39" s="101">
        <f>SUM(L40:L43)</f>
        <v>318599</v>
      </c>
      <c r="M39" s="101"/>
      <c r="N39" s="101"/>
      <c r="O39" s="487"/>
      <c r="P39" s="101"/>
      <c r="Q39" s="101">
        <f>SUM(Q40:Q43)</f>
        <v>528391</v>
      </c>
      <c r="R39" s="101"/>
      <c r="S39" s="101"/>
      <c r="T39" s="487"/>
      <c r="U39" s="101"/>
      <c r="V39" s="101">
        <f>SUM(V40:V43)</f>
        <v>861012</v>
      </c>
      <c r="W39" s="101"/>
      <c r="X39" s="101"/>
      <c r="Y39" s="487"/>
      <c r="Z39" s="101"/>
      <c r="AA39" s="101">
        <f>SUM(AA40:AA43)</f>
        <v>3064348</v>
      </c>
      <c r="AB39" s="101"/>
      <c r="AC39" s="101"/>
      <c r="AD39" s="487"/>
      <c r="AE39" s="101"/>
      <c r="AF39" s="101">
        <f>SUM(AF40:AF43)</f>
        <v>3292135</v>
      </c>
      <c r="AG39" s="101"/>
      <c r="AH39" s="101"/>
      <c r="AI39" s="487"/>
      <c r="AJ39" s="101"/>
      <c r="AK39" s="101">
        <f>SUM(AK40:AK43)</f>
        <v>3720536</v>
      </c>
      <c r="AL39" s="101"/>
      <c r="AM39" s="101"/>
      <c r="AN39" s="487"/>
      <c r="AO39" s="101"/>
      <c r="AP39" s="101">
        <f>SUM(AP40:AP43)</f>
        <v>3706561</v>
      </c>
      <c r="AQ39" s="101"/>
      <c r="AR39" s="101"/>
      <c r="AS39" s="487"/>
      <c r="AT39" s="101"/>
      <c r="AU39" s="101">
        <f>SUM(AU40:AU43)</f>
        <v>2192871</v>
      </c>
      <c r="AV39" s="101"/>
      <c r="AW39" s="101"/>
      <c r="AX39" s="487"/>
      <c r="AY39" s="101"/>
      <c r="AZ39" s="101">
        <f>SUM(AZ40:AZ43)</f>
        <v>1770793</v>
      </c>
      <c r="BA39" s="101"/>
      <c r="BB39" s="101"/>
      <c r="BC39" s="487"/>
      <c r="BD39" s="101"/>
      <c r="BE39" s="101">
        <f>SUM(BE40:BE43)</f>
        <v>610750</v>
      </c>
      <c r="BF39" s="101"/>
      <c r="BG39" s="101"/>
      <c r="BH39" s="487"/>
      <c r="BI39" s="101"/>
      <c r="BJ39" s="101">
        <f>SUM(BJ40:BJ43)</f>
        <v>1208494</v>
      </c>
      <c r="BK39" s="101"/>
      <c r="BL39" s="101"/>
      <c r="BM39" s="487"/>
      <c r="BN39" s="101"/>
      <c r="BO39" s="101">
        <f>SUM(BO40:BO43)</f>
        <v>2647036</v>
      </c>
      <c r="BP39" s="101"/>
      <c r="BQ39" s="101"/>
      <c r="BR39" s="487"/>
      <c r="BS39" s="101"/>
      <c r="BT39" s="101">
        <f>SUM(BT40:BT43)</f>
        <v>23921526</v>
      </c>
      <c r="BU39" s="101"/>
      <c r="BV39" s="101"/>
      <c r="BW39" s="398"/>
      <c r="BZ39" s="411"/>
      <c r="CA39" s="411"/>
    </row>
    <row r="40" spans="1:79" ht="12.75" customHeight="1" x14ac:dyDescent="0.2">
      <c r="A40" s="388"/>
      <c r="B40" s="388"/>
      <c r="D40" s="398" t="s">
        <v>373</v>
      </c>
      <c r="E40" s="487"/>
      <c r="F40" s="412"/>
      <c r="G40" s="485">
        <v>0</v>
      </c>
      <c r="H40" s="486"/>
      <c r="I40" s="101"/>
      <c r="J40" s="487"/>
      <c r="K40" s="488"/>
      <c r="L40" s="485">
        <f>230000-98825</f>
        <v>131175</v>
      </c>
      <c r="M40" s="486"/>
      <c r="N40" s="101"/>
      <c r="O40" s="487"/>
      <c r="P40" s="488"/>
      <c r="Q40" s="485">
        <f>380000-140954</f>
        <v>239046</v>
      </c>
      <c r="R40" s="486"/>
      <c r="S40" s="101"/>
      <c r="T40" s="487"/>
      <c r="U40" s="488"/>
      <c r="V40" s="485">
        <f>615000-271529</f>
        <v>343471</v>
      </c>
      <c r="W40" s="486"/>
      <c r="X40" s="101"/>
      <c r="Y40" s="487"/>
      <c r="Z40" s="488"/>
      <c r="AA40" s="485">
        <f>2190000-1062323</f>
        <v>1127677</v>
      </c>
      <c r="AB40" s="486"/>
      <c r="AC40" s="101"/>
      <c r="AD40" s="487"/>
      <c r="AE40" s="488"/>
      <c r="AF40" s="485">
        <f>2365000-1127992</f>
        <v>1237008</v>
      </c>
      <c r="AG40" s="486"/>
      <c r="AH40" s="101"/>
      <c r="AI40" s="487"/>
      <c r="AJ40" s="488"/>
      <c r="AK40" s="485">
        <f>2675000-1194679</f>
        <v>1480321</v>
      </c>
      <c r="AL40" s="486"/>
      <c r="AM40" s="101"/>
      <c r="AN40" s="487"/>
      <c r="AO40" s="488"/>
      <c r="AP40" s="485">
        <f>2640000-1261213</f>
        <v>1378787</v>
      </c>
      <c r="AQ40" s="486"/>
      <c r="AR40" s="101"/>
      <c r="AS40" s="487"/>
      <c r="AT40" s="488"/>
      <c r="AU40" s="485">
        <f>1550000-742738</f>
        <v>807262</v>
      </c>
      <c r="AV40" s="486"/>
      <c r="AW40" s="101"/>
      <c r="AX40" s="487"/>
      <c r="AY40" s="488"/>
      <c r="AZ40" s="485">
        <f>1250000-540698</f>
        <v>709302</v>
      </c>
      <c r="BA40" s="486"/>
      <c r="BB40" s="101"/>
      <c r="BC40" s="487"/>
      <c r="BD40" s="488"/>
      <c r="BE40" s="485">
        <f>430000-183707</f>
        <v>246293</v>
      </c>
      <c r="BF40" s="486"/>
      <c r="BG40" s="101"/>
      <c r="BH40" s="487"/>
      <c r="BI40" s="488"/>
      <c r="BJ40" s="485">
        <f>850000-341067</f>
        <v>508933</v>
      </c>
      <c r="BK40" s="486"/>
      <c r="BL40" s="101"/>
      <c r="BM40" s="487"/>
      <c r="BN40" s="488"/>
      <c r="BO40" s="485">
        <f>1860000-719674</f>
        <v>1140326</v>
      </c>
      <c r="BP40" s="486"/>
      <c r="BQ40" s="101"/>
      <c r="BR40" s="487"/>
      <c r="BS40" s="488"/>
      <c r="BT40" s="485">
        <f>SUM(L40:BO40)</f>
        <v>9349601</v>
      </c>
      <c r="BU40" s="486"/>
      <c r="BV40" s="101"/>
      <c r="BW40" s="398"/>
      <c r="BZ40" s="411"/>
      <c r="CA40" s="411"/>
    </row>
    <row r="41" spans="1:79" ht="12.75" customHeight="1" x14ac:dyDescent="0.2">
      <c r="A41" s="388"/>
      <c r="B41" s="388"/>
      <c r="D41" s="398" t="s">
        <v>375</v>
      </c>
      <c r="E41" s="487"/>
      <c r="F41" s="404"/>
      <c r="G41" s="101">
        <v>0</v>
      </c>
      <c r="H41" s="49"/>
      <c r="I41" s="101"/>
      <c r="J41" s="487"/>
      <c r="K41" s="487"/>
      <c r="L41" s="101">
        <v>98825</v>
      </c>
      <c r="M41" s="49"/>
      <c r="N41" s="101"/>
      <c r="O41" s="487"/>
      <c r="P41" s="487"/>
      <c r="Q41" s="101">
        <v>140954</v>
      </c>
      <c r="R41" s="49"/>
      <c r="S41" s="101"/>
      <c r="T41" s="487"/>
      <c r="U41" s="487"/>
      <c r="V41" s="101">
        <v>271529</v>
      </c>
      <c r="W41" s="49"/>
      <c r="X41" s="101"/>
      <c r="Y41" s="487"/>
      <c r="Z41" s="487"/>
      <c r="AA41" s="101">
        <v>1062323</v>
      </c>
      <c r="AB41" s="49"/>
      <c r="AC41" s="101"/>
      <c r="AD41" s="487"/>
      <c r="AE41" s="487"/>
      <c r="AF41" s="101">
        <v>1127992</v>
      </c>
      <c r="AG41" s="49"/>
      <c r="AH41" s="101"/>
      <c r="AI41" s="487"/>
      <c r="AJ41" s="487"/>
      <c r="AK41" s="101">
        <v>1194679</v>
      </c>
      <c r="AL41" s="49"/>
      <c r="AM41" s="101"/>
      <c r="AN41" s="487"/>
      <c r="AO41" s="487"/>
      <c r="AP41" s="101">
        <v>1261213</v>
      </c>
      <c r="AQ41" s="49"/>
      <c r="AR41" s="101"/>
      <c r="AS41" s="487"/>
      <c r="AT41" s="487"/>
      <c r="AU41" s="101">
        <v>742738</v>
      </c>
      <c r="AV41" s="49"/>
      <c r="AW41" s="101"/>
      <c r="AX41" s="487"/>
      <c r="AY41" s="487"/>
      <c r="AZ41" s="101">
        <v>540698</v>
      </c>
      <c r="BA41" s="49"/>
      <c r="BB41" s="101"/>
      <c r="BC41" s="487"/>
      <c r="BD41" s="487"/>
      <c r="BE41" s="101">
        <v>183707</v>
      </c>
      <c r="BF41" s="49"/>
      <c r="BG41" s="101"/>
      <c r="BH41" s="487"/>
      <c r="BI41" s="487"/>
      <c r="BJ41" s="101">
        <v>341067</v>
      </c>
      <c r="BK41" s="49"/>
      <c r="BL41" s="101"/>
      <c r="BM41" s="487"/>
      <c r="BN41" s="487"/>
      <c r="BO41" s="101">
        <v>719674</v>
      </c>
      <c r="BP41" s="49"/>
      <c r="BQ41" s="101"/>
      <c r="BR41" s="487"/>
      <c r="BS41" s="487"/>
      <c r="BT41" s="101">
        <f>SUM(L41:BO41)</f>
        <v>7685399</v>
      </c>
      <c r="BU41" s="49"/>
      <c r="BV41" s="101"/>
      <c r="BW41" s="398"/>
      <c r="BZ41" s="411"/>
      <c r="CA41" s="411"/>
    </row>
    <row r="42" spans="1:79" ht="12.75" customHeight="1" x14ac:dyDescent="0.2">
      <c r="A42" s="388"/>
      <c r="B42" s="388"/>
      <c r="D42" s="398" t="s">
        <v>376</v>
      </c>
      <c r="E42" s="487"/>
      <c r="F42" s="404"/>
      <c r="G42" s="101">
        <v>0</v>
      </c>
      <c r="H42" s="49"/>
      <c r="I42" s="101"/>
      <c r="J42" s="487"/>
      <c r="K42" s="487"/>
      <c r="L42" s="101">
        <v>0</v>
      </c>
      <c r="M42" s="49"/>
      <c r="N42" s="101"/>
      <c r="O42" s="487"/>
      <c r="P42" s="487"/>
      <c r="Q42" s="101">
        <v>0</v>
      </c>
      <c r="R42" s="49"/>
      <c r="S42" s="101"/>
      <c r="T42" s="487"/>
      <c r="U42" s="487"/>
      <c r="V42" s="101">
        <v>0</v>
      </c>
      <c r="W42" s="49"/>
      <c r="X42" s="101"/>
      <c r="Y42" s="487"/>
      <c r="Z42" s="487"/>
      <c r="AA42" s="101">
        <v>0</v>
      </c>
      <c r="AB42" s="49"/>
      <c r="AC42" s="101"/>
      <c r="AD42" s="487"/>
      <c r="AE42" s="487"/>
      <c r="AF42" s="101">
        <v>0</v>
      </c>
      <c r="AG42" s="49"/>
      <c r="AH42" s="101"/>
      <c r="AI42" s="487"/>
      <c r="AJ42" s="487"/>
      <c r="AK42" s="101">
        <v>0</v>
      </c>
      <c r="AL42" s="49"/>
      <c r="AM42" s="101"/>
      <c r="AN42" s="487"/>
      <c r="AO42" s="487"/>
      <c r="AP42" s="101">
        <v>0</v>
      </c>
      <c r="AQ42" s="49"/>
      <c r="AR42" s="101"/>
      <c r="AS42" s="487"/>
      <c r="AT42" s="487"/>
      <c r="AU42" s="101">
        <v>0</v>
      </c>
      <c r="AV42" s="49"/>
      <c r="AW42" s="101"/>
      <c r="AX42" s="487"/>
      <c r="AY42" s="487"/>
      <c r="AZ42" s="101">
        <v>0</v>
      </c>
      <c r="BA42" s="49"/>
      <c r="BB42" s="101"/>
      <c r="BC42" s="487"/>
      <c r="BD42" s="487"/>
      <c r="BE42" s="101">
        <v>0</v>
      </c>
      <c r="BF42" s="49"/>
      <c r="BG42" s="101"/>
      <c r="BH42" s="487"/>
      <c r="BI42" s="487"/>
      <c r="BJ42" s="101">
        <v>0</v>
      </c>
      <c r="BK42" s="49"/>
      <c r="BL42" s="101"/>
      <c r="BM42" s="487"/>
      <c r="BN42" s="487"/>
      <c r="BO42" s="101">
        <v>0</v>
      </c>
      <c r="BP42" s="49"/>
      <c r="BQ42" s="101"/>
      <c r="BR42" s="487"/>
      <c r="BS42" s="487"/>
      <c r="BT42" s="101">
        <f>SUM(L42:BO42)</f>
        <v>0</v>
      </c>
      <c r="BU42" s="49"/>
      <c r="BV42" s="101"/>
      <c r="BW42" s="398"/>
      <c r="BZ42" s="411"/>
      <c r="CA42" s="411"/>
    </row>
    <row r="43" spans="1:79" ht="12.75" customHeight="1" x14ac:dyDescent="0.2">
      <c r="A43" s="388"/>
      <c r="B43" s="388"/>
      <c r="D43" s="398" t="s">
        <v>377</v>
      </c>
      <c r="E43" s="487"/>
      <c r="F43" s="427"/>
      <c r="G43" s="496">
        <v>0</v>
      </c>
      <c r="H43" s="90"/>
      <c r="I43" s="101"/>
      <c r="J43" s="487"/>
      <c r="K43" s="497"/>
      <c r="L43" s="496">
        <v>88599</v>
      </c>
      <c r="M43" s="90"/>
      <c r="N43" s="101"/>
      <c r="O43" s="487"/>
      <c r="P43" s="497"/>
      <c r="Q43" s="496">
        <v>148391</v>
      </c>
      <c r="R43" s="90"/>
      <c r="S43" s="101"/>
      <c r="T43" s="487"/>
      <c r="U43" s="497"/>
      <c r="V43" s="496">
        <v>246012</v>
      </c>
      <c r="W43" s="90"/>
      <c r="X43" s="101"/>
      <c r="Y43" s="487"/>
      <c r="Z43" s="497"/>
      <c r="AA43" s="496">
        <v>874348</v>
      </c>
      <c r="AB43" s="90"/>
      <c r="AC43" s="101"/>
      <c r="AD43" s="487"/>
      <c r="AE43" s="497"/>
      <c r="AF43" s="496">
        <v>927135</v>
      </c>
      <c r="AG43" s="90"/>
      <c r="AH43" s="101"/>
      <c r="AI43" s="487"/>
      <c r="AJ43" s="497"/>
      <c r="AK43" s="496">
        <v>1045536</v>
      </c>
      <c r="AL43" s="90"/>
      <c r="AM43" s="101"/>
      <c r="AN43" s="487"/>
      <c r="AO43" s="497"/>
      <c r="AP43" s="496">
        <v>1066561</v>
      </c>
      <c r="AQ43" s="90"/>
      <c r="AR43" s="101"/>
      <c r="AS43" s="487"/>
      <c r="AT43" s="497"/>
      <c r="AU43" s="496">
        <v>642871</v>
      </c>
      <c r="AV43" s="90"/>
      <c r="AW43" s="101"/>
      <c r="AX43" s="487"/>
      <c r="AY43" s="497"/>
      <c r="AZ43" s="496">
        <v>520793</v>
      </c>
      <c r="BA43" s="90"/>
      <c r="BB43" s="101"/>
      <c r="BC43" s="487"/>
      <c r="BD43" s="497"/>
      <c r="BE43" s="496">
        <v>180750</v>
      </c>
      <c r="BF43" s="90"/>
      <c r="BG43" s="101"/>
      <c r="BH43" s="487"/>
      <c r="BI43" s="497"/>
      <c r="BJ43" s="496">
        <v>358494</v>
      </c>
      <c r="BK43" s="90"/>
      <c r="BL43" s="101"/>
      <c r="BM43" s="487"/>
      <c r="BN43" s="497"/>
      <c r="BO43" s="496">
        <v>787036</v>
      </c>
      <c r="BP43" s="90"/>
      <c r="BQ43" s="101"/>
      <c r="BR43" s="487"/>
      <c r="BS43" s="497"/>
      <c r="BT43" s="496">
        <f>SUM(L43:BO43)</f>
        <v>6886526</v>
      </c>
      <c r="BU43" s="90"/>
      <c r="BV43" s="101"/>
      <c r="BW43" s="398"/>
      <c r="BZ43" s="411"/>
      <c r="CA43" s="411"/>
    </row>
    <row r="44" spans="1:79" ht="12.75" x14ac:dyDescent="0.2">
      <c r="A44" s="388"/>
      <c r="B44" s="388"/>
      <c r="D44" s="398"/>
      <c r="E44" s="487"/>
      <c r="F44" s="388"/>
      <c r="G44" s="101"/>
      <c r="H44" s="101"/>
      <c r="I44" s="101"/>
      <c r="J44" s="487"/>
      <c r="K44" s="101"/>
      <c r="L44" s="101"/>
      <c r="M44" s="101"/>
      <c r="N44" s="101"/>
      <c r="O44" s="487"/>
      <c r="P44" s="101"/>
      <c r="Q44" s="101"/>
      <c r="R44" s="101"/>
      <c r="S44" s="101"/>
      <c r="T44" s="487"/>
      <c r="U44" s="101"/>
      <c r="V44" s="101"/>
      <c r="W44" s="101"/>
      <c r="X44" s="101"/>
      <c r="Y44" s="487"/>
      <c r="Z44" s="101"/>
      <c r="AA44" s="101"/>
      <c r="AB44" s="101"/>
      <c r="AC44" s="101"/>
      <c r="AD44" s="487"/>
      <c r="AE44" s="101"/>
      <c r="AF44" s="101"/>
      <c r="AG44" s="101"/>
      <c r="AH44" s="101"/>
      <c r="AI44" s="487"/>
      <c r="AJ44" s="101"/>
      <c r="AK44" s="101"/>
      <c r="AL44" s="101"/>
      <c r="AM44" s="101"/>
      <c r="AN44" s="487"/>
      <c r="AO44" s="101"/>
      <c r="AP44" s="101"/>
      <c r="AQ44" s="101"/>
      <c r="AR44" s="101"/>
      <c r="AS44" s="487"/>
      <c r="AT44" s="101"/>
      <c r="AU44" s="101"/>
      <c r="AV44" s="101"/>
      <c r="AW44" s="101"/>
      <c r="AX44" s="487"/>
      <c r="AY44" s="101"/>
      <c r="AZ44" s="101"/>
      <c r="BA44" s="101"/>
      <c r="BB44" s="101"/>
      <c r="BC44" s="487"/>
      <c r="BD44" s="101"/>
      <c r="BE44" s="101"/>
      <c r="BF44" s="101"/>
      <c r="BG44" s="101"/>
      <c r="BH44" s="487"/>
      <c r="BI44" s="101"/>
      <c r="BJ44" s="101"/>
      <c r="BK44" s="101"/>
      <c r="BL44" s="101"/>
      <c r="BM44" s="487"/>
      <c r="BN44" s="101"/>
      <c r="BO44" s="101"/>
      <c r="BP44" s="101"/>
      <c r="BQ44" s="101"/>
      <c r="BR44" s="487"/>
      <c r="BS44" s="101"/>
      <c r="BT44" s="101"/>
      <c r="BU44" s="101"/>
      <c r="BV44" s="101"/>
      <c r="BW44" s="398"/>
      <c r="BZ44" s="411"/>
      <c r="CA44" s="411"/>
    </row>
    <row r="45" spans="1:79" ht="12.75" customHeight="1" x14ac:dyDescent="0.2">
      <c r="A45" s="388"/>
      <c r="B45" s="388"/>
      <c r="D45" s="398" t="s">
        <v>380</v>
      </c>
      <c r="E45" s="487"/>
      <c r="F45" s="388"/>
      <c r="G45" s="101">
        <f>SUM(G46:G49)</f>
        <v>0</v>
      </c>
      <c r="H45" s="101"/>
      <c r="I45" s="101"/>
      <c r="J45" s="487"/>
      <c r="K45" s="101"/>
      <c r="L45" s="101">
        <f>SUM(L46:L49)</f>
        <v>758012</v>
      </c>
      <c r="M45" s="101"/>
      <c r="N45" s="101"/>
      <c r="O45" s="487"/>
      <c r="P45" s="101"/>
      <c r="Q45" s="101">
        <f>SUM(Q46:Q49)</f>
        <v>592400</v>
      </c>
      <c r="R45" s="101"/>
      <c r="S45" s="101"/>
      <c r="T45" s="487"/>
      <c r="U45" s="101"/>
      <c r="V45" s="101">
        <f>SUM(V46:V49)</f>
        <v>817596</v>
      </c>
      <c r="W45" s="101"/>
      <c r="X45" s="101"/>
      <c r="Y45" s="487"/>
      <c r="Z45" s="101"/>
      <c r="AA45" s="101">
        <f>SUM(AA46:AA49)</f>
        <v>0</v>
      </c>
      <c r="AB45" s="101"/>
      <c r="AC45" s="101"/>
      <c r="AD45" s="487"/>
      <c r="AE45" s="101"/>
      <c r="AF45" s="101">
        <f>SUM(AF46:AF49)</f>
        <v>1611709</v>
      </c>
      <c r="AG45" s="101"/>
      <c r="AH45" s="101"/>
      <c r="AI45" s="487"/>
      <c r="AJ45" s="101"/>
      <c r="AK45" s="101">
        <f>SUM(AK46:AK49)</f>
        <v>0</v>
      </c>
      <c r="AL45" s="101"/>
      <c r="AM45" s="101"/>
      <c r="AN45" s="487"/>
      <c r="AO45" s="101"/>
      <c r="AP45" s="101">
        <f>SUM(AP46:AP49)</f>
        <v>1218728</v>
      </c>
      <c r="AQ45" s="101"/>
      <c r="AR45" s="101"/>
      <c r="AS45" s="487"/>
      <c r="AT45" s="101"/>
      <c r="AU45" s="101">
        <f>SUM(AU46:AU49)</f>
        <v>2181019</v>
      </c>
      <c r="AV45" s="101"/>
      <c r="AW45" s="101"/>
      <c r="AX45" s="487"/>
      <c r="AY45" s="101"/>
      <c r="AZ45" s="101">
        <f>SUM(AZ46:AZ49)</f>
        <v>2952785</v>
      </c>
      <c r="BA45" s="101"/>
      <c r="BB45" s="101"/>
      <c r="BC45" s="487"/>
      <c r="BD45" s="101"/>
      <c r="BE45" s="101">
        <f>SUM(BE46:BE49)</f>
        <v>0</v>
      </c>
      <c r="BF45" s="101"/>
      <c r="BG45" s="101"/>
      <c r="BH45" s="487"/>
      <c r="BI45" s="101"/>
      <c r="BJ45" s="101">
        <f>SUM(BJ46:BJ49)</f>
        <v>681563</v>
      </c>
      <c r="BK45" s="101"/>
      <c r="BL45" s="101"/>
      <c r="BM45" s="487"/>
      <c r="BN45" s="101"/>
      <c r="BO45" s="101">
        <f>SUM(BO46:BO49)</f>
        <v>881441</v>
      </c>
      <c r="BP45" s="101"/>
      <c r="BQ45" s="101"/>
      <c r="BR45" s="487"/>
      <c r="BS45" s="101"/>
      <c r="BT45" s="101">
        <f>SUM(BT46:BT49)</f>
        <v>11695253</v>
      </c>
      <c r="BU45" s="101"/>
      <c r="BV45" s="101"/>
      <c r="BW45" s="398"/>
      <c r="BZ45" s="411"/>
      <c r="CA45" s="411"/>
    </row>
    <row r="46" spans="1:79" ht="12.75" customHeight="1" x14ac:dyDescent="0.2">
      <c r="A46" s="388"/>
      <c r="B46" s="388"/>
      <c r="D46" s="398" t="s">
        <v>373</v>
      </c>
      <c r="E46" s="487"/>
      <c r="F46" s="412"/>
      <c r="G46" s="485">
        <v>0</v>
      </c>
      <c r="H46" s="486"/>
      <c r="I46" s="101"/>
      <c r="J46" s="487"/>
      <c r="K46" s="488"/>
      <c r="L46" s="485">
        <f>605000-189324</f>
        <v>415676</v>
      </c>
      <c r="M46" s="486"/>
      <c r="N46" s="101"/>
      <c r="O46" s="487"/>
      <c r="P46" s="488"/>
      <c r="Q46" s="485">
        <f>470000-150889</f>
        <v>319111</v>
      </c>
      <c r="R46" s="486"/>
      <c r="S46" s="101"/>
      <c r="T46" s="487"/>
      <c r="U46" s="488"/>
      <c r="V46" s="485">
        <f>645000-201995</f>
        <v>443005</v>
      </c>
      <c r="W46" s="486"/>
      <c r="X46" s="101"/>
      <c r="Y46" s="487"/>
      <c r="Z46" s="488"/>
      <c r="AA46" s="485">
        <v>0</v>
      </c>
      <c r="AB46" s="486"/>
      <c r="AC46" s="101"/>
      <c r="AD46" s="487"/>
      <c r="AE46" s="488"/>
      <c r="AF46" s="485">
        <f>1280000-424956</f>
        <v>855044</v>
      </c>
      <c r="AG46" s="486"/>
      <c r="AH46" s="101"/>
      <c r="AI46" s="487"/>
      <c r="AJ46" s="488"/>
      <c r="AK46" s="485">
        <v>0</v>
      </c>
      <c r="AL46" s="486"/>
      <c r="AM46" s="101"/>
      <c r="AN46" s="487"/>
      <c r="AO46" s="488"/>
      <c r="AP46" s="485">
        <f>955000-322457</f>
        <v>632543</v>
      </c>
      <c r="AQ46" s="486"/>
      <c r="AR46" s="101"/>
      <c r="AS46" s="487"/>
      <c r="AT46" s="488"/>
      <c r="AU46" s="485">
        <f>1705000-574806</f>
        <v>1130194</v>
      </c>
      <c r="AV46" s="486"/>
      <c r="AW46" s="101"/>
      <c r="AX46" s="487"/>
      <c r="AY46" s="488"/>
      <c r="AZ46" s="485">
        <f>2305000-740466</f>
        <v>1564534</v>
      </c>
      <c r="BA46" s="486"/>
      <c r="BB46" s="101"/>
      <c r="BC46" s="487"/>
      <c r="BD46" s="488"/>
      <c r="BE46" s="485">
        <v>0</v>
      </c>
      <c r="BF46" s="486"/>
      <c r="BG46" s="101"/>
      <c r="BH46" s="487"/>
      <c r="BI46" s="488"/>
      <c r="BJ46" s="485">
        <f>530000-144379</f>
        <v>385621</v>
      </c>
      <c r="BK46" s="486"/>
      <c r="BL46" s="101"/>
      <c r="BM46" s="487"/>
      <c r="BN46" s="488"/>
      <c r="BO46" s="485">
        <f>685000-181955</f>
        <v>503045</v>
      </c>
      <c r="BP46" s="486"/>
      <c r="BQ46" s="101"/>
      <c r="BR46" s="487"/>
      <c r="BS46" s="488"/>
      <c r="BT46" s="485">
        <f>SUM(L46:BO46)</f>
        <v>6248773</v>
      </c>
      <c r="BU46" s="486"/>
      <c r="BV46" s="101"/>
      <c r="BW46" s="398"/>
      <c r="BZ46" s="411"/>
      <c r="CA46" s="411"/>
    </row>
    <row r="47" spans="1:79" ht="12.75" customHeight="1" x14ac:dyDescent="0.2">
      <c r="A47" s="388"/>
      <c r="B47" s="388"/>
      <c r="D47" s="398" t="s">
        <v>375</v>
      </c>
      <c r="E47" s="487"/>
      <c r="F47" s="404"/>
      <c r="G47" s="101">
        <v>0</v>
      </c>
      <c r="H47" s="49"/>
      <c r="I47" s="101"/>
      <c r="J47" s="487"/>
      <c r="K47" s="487"/>
      <c r="L47" s="101">
        <v>189324</v>
      </c>
      <c r="M47" s="49"/>
      <c r="N47" s="101"/>
      <c r="O47" s="487"/>
      <c r="P47" s="487"/>
      <c r="Q47" s="101">
        <v>150889</v>
      </c>
      <c r="R47" s="49"/>
      <c r="S47" s="101"/>
      <c r="T47" s="487"/>
      <c r="U47" s="487"/>
      <c r="V47" s="101">
        <v>201995</v>
      </c>
      <c r="W47" s="49"/>
      <c r="X47" s="101"/>
      <c r="Y47" s="487"/>
      <c r="Z47" s="487"/>
      <c r="AA47" s="101">
        <v>0</v>
      </c>
      <c r="AB47" s="49"/>
      <c r="AC47" s="101"/>
      <c r="AD47" s="487"/>
      <c r="AE47" s="487"/>
      <c r="AF47" s="101">
        <v>424956</v>
      </c>
      <c r="AG47" s="49"/>
      <c r="AH47" s="101"/>
      <c r="AI47" s="487"/>
      <c r="AJ47" s="487"/>
      <c r="AK47" s="101">
        <v>0</v>
      </c>
      <c r="AL47" s="49"/>
      <c r="AM47" s="101"/>
      <c r="AN47" s="487"/>
      <c r="AO47" s="487"/>
      <c r="AP47" s="101">
        <v>322457</v>
      </c>
      <c r="AQ47" s="49"/>
      <c r="AR47" s="101"/>
      <c r="AS47" s="487"/>
      <c r="AT47" s="487"/>
      <c r="AU47" s="101">
        <v>574806</v>
      </c>
      <c r="AV47" s="49"/>
      <c r="AW47" s="101"/>
      <c r="AX47" s="487"/>
      <c r="AY47" s="487"/>
      <c r="AZ47" s="101">
        <v>740466</v>
      </c>
      <c r="BA47" s="49"/>
      <c r="BB47" s="101"/>
      <c r="BC47" s="487"/>
      <c r="BD47" s="487"/>
      <c r="BE47" s="101">
        <v>0</v>
      </c>
      <c r="BF47" s="49"/>
      <c r="BG47" s="101"/>
      <c r="BH47" s="487"/>
      <c r="BI47" s="487"/>
      <c r="BJ47" s="101">
        <v>144379</v>
      </c>
      <c r="BK47" s="49"/>
      <c r="BL47" s="101"/>
      <c r="BM47" s="487"/>
      <c r="BN47" s="487"/>
      <c r="BO47" s="101">
        <v>181955</v>
      </c>
      <c r="BP47" s="49"/>
      <c r="BQ47" s="101"/>
      <c r="BR47" s="487"/>
      <c r="BS47" s="487"/>
      <c r="BT47" s="101">
        <f>SUM(L47:BO47)</f>
        <v>2931227</v>
      </c>
      <c r="BU47" s="49"/>
      <c r="BV47" s="101"/>
      <c r="BW47" s="398"/>
      <c r="BZ47" s="411"/>
      <c r="CA47" s="411"/>
    </row>
    <row r="48" spans="1:79" ht="12.75" customHeight="1" x14ac:dyDescent="0.2">
      <c r="A48" s="388"/>
      <c r="B48" s="388"/>
      <c r="D48" s="398" t="s">
        <v>376</v>
      </c>
      <c r="E48" s="487"/>
      <c r="F48" s="404"/>
      <c r="G48" s="101">
        <v>0</v>
      </c>
      <c r="H48" s="49"/>
      <c r="I48" s="101"/>
      <c r="J48" s="487"/>
      <c r="K48" s="487"/>
      <c r="L48" s="101">
        <v>0</v>
      </c>
      <c r="M48" s="49"/>
      <c r="N48" s="101"/>
      <c r="O48" s="487"/>
      <c r="P48" s="487"/>
      <c r="Q48" s="101">
        <v>0</v>
      </c>
      <c r="R48" s="49"/>
      <c r="S48" s="101"/>
      <c r="T48" s="487"/>
      <c r="U48" s="487"/>
      <c r="V48" s="101">
        <v>0</v>
      </c>
      <c r="W48" s="49"/>
      <c r="X48" s="101"/>
      <c r="Y48" s="487"/>
      <c r="Z48" s="487"/>
      <c r="AA48" s="101">
        <v>0</v>
      </c>
      <c r="AB48" s="49"/>
      <c r="AC48" s="101"/>
      <c r="AD48" s="487"/>
      <c r="AE48" s="487"/>
      <c r="AF48" s="101">
        <v>0</v>
      </c>
      <c r="AG48" s="49"/>
      <c r="AH48" s="101"/>
      <c r="AI48" s="487"/>
      <c r="AJ48" s="487"/>
      <c r="AK48" s="101">
        <v>0</v>
      </c>
      <c r="AL48" s="49"/>
      <c r="AM48" s="101"/>
      <c r="AN48" s="487"/>
      <c r="AO48" s="487"/>
      <c r="AP48" s="101">
        <v>0</v>
      </c>
      <c r="AQ48" s="49"/>
      <c r="AR48" s="101"/>
      <c r="AS48" s="487"/>
      <c r="AT48" s="487"/>
      <c r="AU48" s="101">
        <v>0</v>
      </c>
      <c r="AV48" s="49"/>
      <c r="AW48" s="101"/>
      <c r="AX48" s="487"/>
      <c r="AY48" s="487"/>
      <c r="AZ48" s="101">
        <v>0</v>
      </c>
      <c r="BA48" s="49"/>
      <c r="BB48" s="101"/>
      <c r="BC48" s="487"/>
      <c r="BD48" s="487"/>
      <c r="BE48" s="101">
        <v>0</v>
      </c>
      <c r="BF48" s="49"/>
      <c r="BG48" s="101"/>
      <c r="BH48" s="487"/>
      <c r="BI48" s="487"/>
      <c r="BJ48" s="101">
        <v>0</v>
      </c>
      <c r="BK48" s="49"/>
      <c r="BL48" s="101"/>
      <c r="BM48" s="487"/>
      <c r="BN48" s="487"/>
      <c r="BO48" s="101">
        <v>0</v>
      </c>
      <c r="BP48" s="49"/>
      <c r="BQ48" s="101"/>
      <c r="BR48" s="487"/>
      <c r="BS48" s="487"/>
      <c r="BT48" s="101">
        <f>SUM(L48:BO48)</f>
        <v>0</v>
      </c>
      <c r="BU48" s="49"/>
      <c r="BV48" s="101"/>
      <c r="BW48" s="398"/>
      <c r="BZ48" s="411"/>
      <c r="CA48" s="411"/>
    </row>
    <row r="49" spans="1:79" ht="12.75" customHeight="1" x14ac:dyDescent="0.2">
      <c r="A49" s="388"/>
      <c r="B49" s="388"/>
      <c r="D49" s="398" t="s">
        <v>377</v>
      </c>
      <c r="E49" s="487"/>
      <c r="F49" s="427"/>
      <c r="G49" s="496">
        <v>0</v>
      </c>
      <c r="H49" s="90"/>
      <c r="I49" s="101"/>
      <c r="J49" s="487"/>
      <c r="K49" s="497"/>
      <c r="L49" s="496">
        <v>153012</v>
      </c>
      <c r="M49" s="90"/>
      <c r="N49" s="101"/>
      <c r="O49" s="487"/>
      <c r="P49" s="497"/>
      <c r="Q49" s="496">
        <v>122400</v>
      </c>
      <c r="R49" s="90"/>
      <c r="S49" s="101"/>
      <c r="T49" s="487"/>
      <c r="U49" s="497"/>
      <c r="V49" s="496">
        <v>172596</v>
      </c>
      <c r="W49" s="90"/>
      <c r="X49" s="101"/>
      <c r="Y49" s="487"/>
      <c r="Z49" s="497"/>
      <c r="AA49" s="496">
        <v>0</v>
      </c>
      <c r="AB49" s="90"/>
      <c r="AC49" s="101"/>
      <c r="AD49" s="487"/>
      <c r="AE49" s="497"/>
      <c r="AF49" s="496">
        <v>331709</v>
      </c>
      <c r="AG49" s="90"/>
      <c r="AH49" s="101"/>
      <c r="AI49" s="487"/>
      <c r="AJ49" s="497"/>
      <c r="AK49" s="496">
        <v>0</v>
      </c>
      <c r="AL49" s="90"/>
      <c r="AM49" s="101"/>
      <c r="AN49" s="487"/>
      <c r="AO49" s="497"/>
      <c r="AP49" s="496">
        <v>263728</v>
      </c>
      <c r="AQ49" s="90"/>
      <c r="AR49" s="101"/>
      <c r="AS49" s="487"/>
      <c r="AT49" s="497"/>
      <c r="AU49" s="496">
        <v>476019</v>
      </c>
      <c r="AV49" s="90"/>
      <c r="AW49" s="101"/>
      <c r="AX49" s="487"/>
      <c r="AY49" s="497"/>
      <c r="AZ49" s="496">
        <v>647785</v>
      </c>
      <c r="BA49" s="90"/>
      <c r="BB49" s="101"/>
      <c r="BC49" s="487"/>
      <c r="BD49" s="497"/>
      <c r="BE49" s="496">
        <v>0</v>
      </c>
      <c r="BF49" s="90"/>
      <c r="BG49" s="101"/>
      <c r="BH49" s="487"/>
      <c r="BI49" s="497"/>
      <c r="BJ49" s="496">
        <v>151563</v>
      </c>
      <c r="BK49" s="90"/>
      <c r="BL49" s="101"/>
      <c r="BM49" s="487"/>
      <c r="BN49" s="497"/>
      <c r="BO49" s="496">
        <v>196441</v>
      </c>
      <c r="BP49" s="90"/>
      <c r="BQ49" s="101"/>
      <c r="BR49" s="487"/>
      <c r="BS49" s="497"/>
      <c r="BT49" s="496">
        <f>SUM(L49:BO49)</f>
        <v>2515253</v>
      </c>
      <c r="BU49" s="90"/>
      <c r="BV49" s="101"/>
      <c r="BW49" s="398"/>
      <c r="BZ49" s="411"/>
      <c r="CA49" s="411"/>
    </row>
    <row r="50" spans="1:79" ht="12.75" customHeight="1" x14ac:dyDescent="0.2">
      <c r="A50" s="388"/>
      <c r="B50" s="388"/>
      <c r="D50" s="398"/>
      <c r="E50" s="487"/>
      <c r="F50" s="388"/>
      <c r="G50" s="101"/>
      <c r="H50" s="101"/>
      <c r="I50" s="101"/>
      <c r="J50" s="487"/>
      <c r="K50" s="101"/>
      <c r="L50" s="101"/>
      <c r="M50" s="101"/>
      <c r="N50" s="101"/>
      <c r="O50" s="487"/>
      <c r="P50" s="101"/>
      <c r="Q50" s="101"/>
      <c r="R50" s="101"/>
      <c r="S50" s="101"/>
      <c r="T50" s="487"/>
      <c r="U50" s="101"/>
      <c r="V50" s="101"/>
      <c r="W50" s="101"/>
      <c r="X50" s="101"/>
      <c r="Y50" s="487"/>
      <c r="Z50" s="101"/>
      <c r="AA50" s="101"/>
      <c r="AB50" s="101"/>
      <c r="AC50" s="101"/>
      <c r="AD50" s="487"/>
      <c r="AE50" s="101"/>
      <c r="AF50" s="101"/>
      <c r="AG50" s="101"/>
      <c r="AH50" s="101"/>
      <c r="AI50" s="487"/>
      <c r="AJ50" s="101"/>
      <c r="AK50" s="101"/>
      <c r="AL50" s="101"/>
      <c r="AM50" s="101"/>
      <c r="AN50" s="487"/>
      <c r="AO50" s="101"/>
      <c r="AP50" s="101"/>
      <c r="AQ50" s="101"/>
      <c r="AR50" s="101"/>
      <c r="AS50" s="487"/>
      <c r="AT50" s="101"/>
      <c r="AU50" s="101"/>
      <c r="AV50" s="101"/>
      <c r="AW50" s="101"/>
      <c r="AX50" s="487"/>
      <c r="AY50" s="101"/>
      <c r="AZ50" s="101"/>
      <c r="BA50" s="101"/>
      <c r="BB50" s="101"/>
      <c r="BC50" s="487"/>
      <c r="BD50" s="101"/>
      <c r="BE50" s="101"/>
      <c r="BF50" s="101"/>
      <c r="BG50" s="101"/>
      <c r="BH50" s="487"/>
      <c r="BI50" s="101"/>
      <c r="BJ50" s="101"/>
      <c r="BK50" s="101"/>
      <c r="BL50" s="101"/>
      <c r="BM50" s="487"/>
      <c r="BN50" s="101"/>
      <c r="BO50" s="101"/>
      <c r="BP50" s="101"/>
      <c r="BQ50" s="101"/>
      <c r="BR50" s="487"/>
      <c r="BS50" s="101"/>
      <c r="BT50" s="101"/>
      <c r="BU50" s="101"/>
      <c r="BV50" s="101"/>
      <c r="BW50" s="398"/>
      <c r="BZ50" s="411"/>
      <c r="CA50" s="411"/>
    </row>
    <row r="51" spans="1:79" ht="12.75" customHeight="1" x14ac:dyDescent="0.2">
      <c r="A51" s="388"/>
      <c r="B51" s="388"/>
      <c r="D51" s="398" t="s">
        <v>381</v>
      </c>
      <c r="E51" s="487"/>
      <c r="F51" s="388"/>
      <c r="G51" s="101">
        <f>SUM(G52:G55)</f>
        <v>0</v>
      </c>
      <c r="H51" s="101"/>
      <c r="I51" s="101"/>
      <c r="J51" s="487"/>
      <c r="K51" s="101"/>
      <c r="L51" s="101">
        <f>SUM(L52:L55)</f>
        <v>982689</v>
      </c>
      <c r="M51" s="101"/>
      <c r="N51" s="101"/>
      <c r="O51" s="487"/>
      <c r="P51" s="101"/>
      <c r="Q51" s="101">
        <f>SUM(Q52:Q55)</f>
        <v>1986453</v>
      </c>
      <c r="R51" s="101"/>
      <c r="S51" s="101"/>
      <c r="T51" s="487"/>
      <c r="U51" s="101"/>
      <c r="V51" s="101">
        <f>SUM(V52:V55)</f>
        <v>1403161</v>
      </c>
      <c r="W51" s="101"/>
      <c r="X51" s="101"/>
      <c r="Y51" s="487"/>
      <c r="Z51" s="101"/>
      <c r="AA51" s="101">
        <f>SUM(AA52:AA55)</f>
        <v>2745650</v>
      </c>
      <c r="AB51" s="101"/>
      <c r="AC51" s="101"/>
      <c r="AD51" s="487"/>
      <c r="AE51" s="101"/>
      <c r="AF51" s="101">
        <f>SUM(AF52:AF55)</f>
        <v>797349</v>
      </c>
      <c r="AG51" s="101"/>
      <c r="AH51" s="101"/>
      <c r="AI51" s="487"/>
      <c r="AJ51" s="101"/>
      <c r="AK51" s="101">
        <f>SUM(AK52:AK55)</f>
        <v>2383632</v>
      </c>
      <c r="AL51" s="101"/>
      <c r="AM51" s="101"/>
      <c r="AN51" s="487"/>
      <c r="AO51" s="101"/>
      <c r="AP51" s="101">
        <f>SUM(AP52:AP55)</f>
        <v>969298</v>
      </c>
      <c r="AQ51" s="101"/>
      <c r="AR51" s="101"/>
      <c r="AS51" s="487"/>
      <c r="AT51" s="101"/>
      <c r="AU51" s="101">
        <f>SUM(AU52:AU55)</f>
        <v>2188195</v>
      </c>
      <c r="AV51" s="101"/>
      <c r="AW51" s="101"/>
      <c r="AX51" s="487"/>
      <c r="AY51" s="101"/>
      <c r="AZ51" s="101">
        <f>SUM(AZ52:AZ55)</f>
        <v>999149</v>
      </c>
      <c r="BA51" s="101"/>
      <c r="BB51" s="101"/>
      <c r="BC51" s="487"/>
      <c r="BD51" s="101"/>
      <c r="BE51" s="101">
        <f>SUM(BE52:BE55)</f>
        <v>557392</v>
      </c>
      <c r="BF51" s="101"/>
      <c r="BG51" s="101"/>
      <c r="BH51" s="487"/>
      <c r="BI51" s="101"/>
      <c r="BJ51" s="101">
        <f>SUM(BJ52:BJ55)</f>
        <v>2366127</v>
      </c>
      <c r="BK51" s="101"/>
      <c r="BL51" s="101"/>
      <c r="BM51" s="487"/>
      <c r="BN51" s="101"/>
      <c r="BO51" s="101">
        <f>SUM(BO52:BO55)</f>
        <v>1531530</v>
      </c>
      <c r="BP51" s="101"/>
      <c r="BQ51" s="101"/>
      <c r="BR51" s="487"/>
      <c r="BS51" s="101"/>
      <c r="BT51" s="101">
        <f>SUM(BT52:BT55)</f>
        <v>18910625</v>
      </c>
      <c r="BU51" s="101"/>
      <c r="BV51" s="101"/>
      <c r="BW51" s="398"/>
      <c r="BZ51" s="411"/>
      <c r="CA51" s="411"/>
    </row>
    <row r="52" spans="1:79" ht="12.75" customHeight="1" x14ac:dyDescent="0.2">
      <c r="A52" s="388"/>
      <c r="B52" s="388"/>
      <c r="D52" s="398" t="s">
        <v>373</v>
      </c>
      <c r="E52" s="487"/>
      <c r="F52" s="412"/>
      <c r="G52" s="485">
        <v>0</v>
      </c>
      <c r="H52" s="486"/>
      <c r="I52" s="101"/>
      <c r="J52" s="487"/>
      <c r="K52" s="488"/>
      <c r="L52" s="485">
        <f>670000-314206</f>
        <v>355794</v>
      </c>
      <c r="M52" s="486"/>
      <c r="N52" s="101"/>
      <c r="O52" s="487"/>
      <c r="P52" s="488"/>
      <c r="Q52" s="485">
        <f>1345000-656147</f>
        <v>688853</v>
      </c>
      <c r="R52" s="486"/>
      <c r="S52" s="101"/>
      <c r="T52" s="487"/>
      <c r="U52" s="488"/>
      <c r="V52" s="485">
        <f>945000-485085</f>
        <v>459915</v>
      </c>
      <c r="W52" s="486"/>
      <c r="X52" s="101"/>
      <c r="Y52" s="487"/>
      <c r="Z52" s="488"/>
      <c r="AA52" s="485">
        <f>1850000-1026711</f>
        <v>823289</v>
      </c>
      <c r="AB52" s="486"/>
      <c r="AC52" s="101"/>
      <c r="AD52" s="487"/>
      <c r="AE52" s="488"/>
      <c r="AF52" s="485">
        <f>540000-296291</f>
        <v>243709</v>
      </c>
      <c r="AG52" s="486"/>
      <c r="AH52" s="101"/>
      <c r="AI52" s="487"/>
      <c r="AJ52" s="488"/>
      <c r="AK52" s="485">
        <f>1615000-838888</f>
        <v>776112</v>
      </c>
      <c r="AL52" s="486"/>
      <c r="AM52" s="101"/>
      <c r="AN52" s="487"/>
      <c r="AO52" s="488"/>
      <c r="AP52" s="485">
        <f>650000-353640</f>
        <v>296360</v>
      </c>
      <c r="AQ52" s="486"/>
      <c r="AR52" s="101"/>
      <c r="AS52" s="487"/>
      <c r="AT52" s="488"/>
      <c r="AU52" s="485">
        <f>1460000-813214</f>
        <v>646786</v>
      </c>
      <c r="AV52" s="486"/>
      <c r="AW52" s="101"/>
      <c r="AX52" s="487"/>
      <c r="AY52" s="488"/>
      <c r="AZ52" s="485">
        <f>665000-318471</f>
        <v>346529</v>
      </c>
      <c r="BA52" s="486"/>
      <c r="BB52" s="101"/>
      <c r="BC52" s="487"/>
      <c r="BD52" s="488"/>
      <c r="BE52" s="485">
        <f>370000-180925</f>
        <v>189075</v>
      </c>
      <c r="BF52" s="486"/>
      <c r="BG52" s="101"/>
      <c r="BH52" s="487"/>
      <c r="BI52" s="488"/>
      <c r="BJ52" s="485">
        <f>1570000-720713</f>
        <v>849287</v>
      </c>
      <c r="BK52" s="486"/>
      <c r="BL52" s="101"/>
      <c r="BM52" s="487"/>
      <c r="BN52" s="488"/>
      <c r="BO52" s="485">
        <f>1015000-457008</f>
        <v>557992</v>
      </c>
      <c r="BP52" s="486"/>
      <c r="BQ52" s="101"/>
      <c r="BR52" s="487"/>
      <c r="BS52" s="488"/>
      <c r="BT52" s="485">
        <f>SUM(L52:BO52)</f>
        <v>6233701</v>
      </c>
      <c r="BU52" s="486"/>
      <c r="BV52" s="101"/>
      <c r="BW52" s="398"/>
      <c r="BZ52" s="411"/>
      <c r="CA52" s="411"/>
    </row>
    <row r="53" spans="1:79" ht="12.75" customHeight="1" x14ac:dyDescent="0.2">
      <c r="A53" s="388"/>
      <c r="B53" s="388"/>
      <c r="D53" s="398" t="s">
        <v>375</v>
      </c>
      <c r="E53" s="487"/>
      <c r="F53" s="404"/>
      <c r="G53" s="101">
        <v>0</v>
      </c>
      <c r="H53" s="49"/>
      <c r="I53" s="101"/>
      <c r="J53" s="487"/>
      <c r="K53" s="487"/>
      <c r="L53" s="101">
        <v>314206</v>
      </c>
      <c r="M53" s="49"/>
      <c r="N53" s="101"/>
      <c r="O53" s="487"/>
      <c r="P53" s="487"/>
      <c r="Q53" s="101">
        <v>656147</v>
      </c>
      <c r="R53" s="49"/>
      <c r="S53" s="101"/>
      <c r="T53" s="487"/>
      <c r="U53" s="487"/>
      <c r="V53" s="101">
        <v>485085</v>
      </c>
      <c r="W53" s="49"/>
      <c r="X53" s="101"/>
      <c r="Y53" s="487"/>
      <c r="Z53" s="487"/>
      <c r="AA53" s="101">
        <v>1026711</v>
      </c>
      <c r="AB53" s="49"/>
      <c r="AC53" s="101"/>
      <c r="AD53" s="487"/>
      <c r="AE53" s="487"/>
      <c r="AF53" s="101">
        <v>296291</v>
      </c>
      <c r="AG53" s="49"/>
      <c r="AH53" s="101"/>
      <c r="AI53" s="487"/>
      <c r="AJ53" s="487"/>
      <c r="AK53" s="101">
        <v>838888</v>
      </c>
      <c r="AL53" s="49"/>
      <c r="AM53" s="101"/>
      <c r="AN53" s="487"/>
      <c r="AO53" s="487"/>
      <c r="AP53" s="101">
        <v>353640</v>
      </c>
      <c r="AQ53" s="49"/>
      <c r="AR53" s="101"/>
      <c r="AS53" s="487"/>
      <c r="AT53" s="487"/>
      <c r="AU53" s="101">
        <v>813214</v>
      </c>
      <c r="AV53" s="49"/>
      <c r="AW53" s="101"/>
      <c r="AX53" s="487"/>
      <c r="AY53" s="487"/>
      <c r="AZ53" s="101">
        <v>318471</v>
      </c>
      <c r="BA53" s="49"/>
      <c r="BB53" s="101"/>
      <c r="BC53" s="487"/>
      <c r="BD53" s="487"/>
      <c r="BE53" s="101">
        <v>180925</v>
      </c>
      <c r="BF53" s="49"/>
      <c r="BG53" s="101"/>
      <c r="BH53" s="487"/>
      <c r="BI53" s="487"/>
      <c r="BJ53" s="101">
        <v>720713</v>
      </c>
      <c r="BK53" s="49"/>
      <c r="BL53" s="101"/>
      <c r="BM53" s="487"/>
      <c r="BN53" s="487"/>
      <c r="BO53" s="101">
        <v>457008</v>
      </c>
      <c r="BP53" s="49"/>
      <c r="BQ53" s="101"/>
      <c r="BR53" s="487"/>
      <c r="BS53" s="487"/>
      <c r="BT53" s="101">
        <f>SUM(L53:BO53)</f>
        <v>6461299</v>
      </c>
      <c r="BU53" s="49"/>
      <c r="BV53" s="101"/>
      <c r="BW53" s="398"/>
      <c r="BZ53" s="411"/>
      <c r="CA53" s="411"/>
    </row>
    <row r="54" spans="1:79" ht="12.75" customHeight="1" x14ac:dyDescent="0.2">
      <c r="A54" s="388"/>
      <c r="B54" s="388"/>
      <c r="D54" s="398" t="s">
        <v>376</v>
      </c>
      <c r="E54" s="487"/>
      <c r="F54" s="404"/>
      <c r="G54" s="101">
        <v>0</v>
      </c>
      <c r="H54" s="49"/>
      <c r="I54" s="101"/>
      <c r="J54" s="487"/>
      <c r="K54" s="487"/>
      <c r="L54" s="101">
        <v>0</v>
      </c>
      <c r="M54" s="49"/>
      <c r="N54" s="101"/>
      <c r="O54" s="487"/>
      <c r="P54" s="487"/>
      <c r="Q54" s="101">
        <v>0</v>
      </c>
      <c r="R54" s="49"/>
      <c r="S54" s="101"/>
      <c r="T54" s="487"/>
      <c r="U54" s="487"/>
      <c r="V54" s="101">
        <v>0</v>
      </c>
      <c r="W54" s="49"/>
      <c r="X54" s="101"/>
      <c r="Y54" s="487"/>
      <c r="Z54" s="487"/>
      <c r="AA54" s="101">
        <v>0</v>
      </c>
      <c r="AB54" s="49"/>
      <c r="AC54" s="101"/>
      <c r="AD54" s="487"/>
      <c r="AE54" s="487"/>
      <c r="AF54" s="101">
        <v>0</v>
      </c>
      <c r="AG54" s="49"/>
      <c r="AH54" s="101"/>
      <c r="AI54" s="487"/>
      <c r="AJ54" s="487"/>
      <c r="AK54" s="101">
        <v>0</v>
      </c>
      <c r="AL54" s="49"/>
      <c r="AM54" s="101"/>
      <c r="AN54" s="487"/>
      <c r="AO54" s="487"/>
      <c r="AP54" s="101">
        <v>0</v>
      </c>
      <c r="AQ54" s="49"/>
      <c r="AR54" s="101"/>
      <c r="AS54" s="487"/>
      <c r="AT54" s="487"/>
      <c r="AU54" s="101">
        <v>0</v>
      </c>
      <c r="AV54" s="49"/>
      <c r="AW54" s="101"/>
      <c r="AX54" s="487"/>
      <c r="AY54" s="487"/>
      <c r="AZ54" s="101">
        <v>0</v>
      </c>
      <c r="BA54" s="49"/>
      <c r="BB54" s="101"/>
      <c r="BC54" s="487"/>
      <c r="BD54" s="487"/>
      <c r="BE54" s="101">
        <v>0</v>
      </c>
      <c r="BF54" s="49"/>
      <c r="BG54" s="101"/>
      <c r="BH54" s="487"/>
      <c r="BI54" s="487"/>
      <c r="BJ54" s="101">
        <v>0</v>
      </c>
      <c r="BK54" s="49"/>
      <c r="BL54" s="101"/>
      <c r="BM54" s="487"/>
      <c r="BN54" s="487"/>
      <c r="BO54" s="101">
        <v>0</v>
      </c>
      <c r="BP54" s="49"/>
      <c r="BQ54" s="101"/>
      <c r="BR54" s="487"/>
      <c r="BS54" s="487"/>
      <c r="BT54" s="101">
        <f>SUM(L54:BO54)</f>
        <v>0</v>
      </c>
      <c r="BU54" s="49"/>
      <c r="BV54" s="101"/>
      <c r="BW54" s="398"/>
      <c r="BZ54" s="411"/>
      <c r="CA54" s="411"/>
    </row>
    <row r="55" spans="1:79" ht="12.75" customHeight="1" x14ac:dyDescent="0.2">
      <c r="A55" s="388"/>
      <c r="B55" s="388"/>
      <c r="D55" s="398" t="s">
        <v>377</v>
      </c>
      <c r="E55" s="487"/>
      <c r="F55" s="427"/>
      <c r="G55" s="496">
        <v>0</v>
      </c>
      <c r="H55" s="90"/>
      <c r="I55" s="101"/>
      <c r="J55" s="487"/>
      <c r="K55" s="497"/>
      <c r="L55" s="496">
        <v>312689</v>
      </c>
      <c r="M55" s="90"/>
      <c r="N55" s="101"/>
      <c r="O55" s="487"/>
      <c r="P55" s="497"/>
      <c r="Q55" s="496">
        <v>641453</v>
      </c>
      <c r="R55" s="90"/>
      <c r="S55" s="101"/>
      <c r="T55" s="487"/>
      <c r="U55" s="497"/>
      <c r="V55" s="496">
        <v>458161</v>
      </c>
      <c r="W55" s="90"/>
      <c r="X55" s="101"/>
      <c r="Y55" s="487"/>
      <c r="Z55" s="497"/>
      <c r="AA55" s="496">
        <v>895650</v>
      </c>
      <c r="AB55" s="90"/>
      <c r="AC55" s="101"/>
      <c r="AD55" s="487"/>
      <c r="AE55" s="497"/>
      <c r="AF55" s="496">
        <v>257349</v>
      </c>
      <c r="AG55" s="90"/>
      <c r="AH55" s="101"/>
      <c r="AI55" s="487"/>
      <c r="AJ55" s="497"/>
      <c r="AK55" s="496">
        <v>768632</v>
      </c>
      <c r="AL55" s="90"/>
      <c r="AM55" s="101"/>
      <c r="AN55" s="487"/>
      <c r="AO55" s="497"/>
      <c r="AP55" s="496">
        <v>319298</v>
      </c>
      <c r="AQ55" s="90"/>
      <c r="AR55" s="101"/>
      <c r="AS55" s="487"/>
      <c r="AT55" s="497"/>
      <c r="AU55" s="496">
        <v>728195</v>
      </c>
      <c r="AV55" s="90"/>
      <c r="AW55" s="101"/>
      <c r="AX55" s="487"/>
      <c r="AY55" s="497"/>
      <c r="AZ55" s="496">
        <v>334149</v>
      </c>
      <c r="BA55" s="90"/>
      <c r="BB55" s="101"/>
      <c r="BC55" s="487"/>
      <c r="BD55" s="497"/>
      <c r="BE55" s="496">
        <v>187392</v>
      </c>
      <c r="BF55" s="90"/>
      <c r="BG55" s="101"/>
      <c r="BH55" s="487"/>
      <c r="BI55" s="497"/>
      <c r="BJ55" s="496">
        <v>796127</v>
      </c>
      <c r="BK55" s="90"/>
      <c r="BL55" s="101"/>
      <c r="BM55" s="487"/>
      <c r="BN55" s="497"/>
      <c r="BO55" s="496">
        <v>516530</v>
      </c>
      <c r="BP55" s="90"/>
      <c r="BQ55" s="101"/>
      <c r="BR55" s="487"/>
      <c r="BS55" s="497"/>
      <c r="BT55" s="496">
        <f>SUM(L55:BO55)</f>
        <v>6215625</v>
      </c>
      <c r="BU55" s="90"/>
      <c r="BV55" s="101"/>
      <c r="BW55" s="398"/>
      <c r="BZ55" s="411"/>
      <c r="CA55" s="411"/>
    </row>
    <row r="56" spans="1:79" ht="12.75" x14ac:dyDescent="0.2">
      <c r="A56" s="388"/>
      <c r="B56" s="388"/>
      <c r="D56" s="398"/>
      <c r="E56" s="487"/>
      <c r="F56" s="388"/>
      <c r="G56" s="101"/>
      <c r="H56" s="101"/>
      <c r="I56" s="101"/>
      <c r="J56" s="487"/>
      <c r="K56" s="101"/>
      <c r="L56" s="101"/>
      <c r="M56" s="101"/>
      <c r="N56" s="101"/>
      <c r="O56" s="487"/>
      <c r="P56" s="101"/>
      <c r="Q56" s="101"/>
      <c r="R56" s="101"/>
      <c r="S56" s="101"/>
      <c r="T56" s="487"/>
      <c r="U56" s="101"/>
      <c r="V56" s="101"/>
      <c r="W56" s="101"/>
      <c r="X56" s="101"/>
      <c r="Y56" s="487"/>
      <c r="Z56" s="101"/>
      <c r="AA56" s="101"/>
      <c r="AB56" s="101"/>
      <c r="AC56" s="101"/>
      <c r="AD56" s="487"/>
      <c r="AE56" s="101"/>
      <c r="AF56" s="101"/>
      <c r="AG56" s="101"/>
      <c r="AH56" s="101"/>
      <c r="AI56" s="487"/>
      <c r="AJ56" s="101"/>
      <c r="AK56" s="101"/>
      <c r="AL56" s="101"/>
      <c r="AM56" s="101"/>
      <c r="AN56" s="487"/>
      <c r="AO56" s="101"/>
      <c r="AP56" s="101"/>
      <c r="AQ56" s="101"/>
      <c r="AR56" s="101"/>
      <c r="AS56" s="487"/>
      <c r="AT56" s="101"/>
      <c r="AU56" s="101"/>
      <c r="AV56" s="101"/>
      <c r="AW56" s="101"/>
      <c r="AX56" s="487"/>
      <c r="AY56" s="101"/>
      <c r="AZ56" s="101"/>
      <c r="BA56" s="101"/>
      <c r="BB56" s="101"/>
      <c r="BC56" s="487"/>
      <c r="BD56" s="101"/>
      <c r="BE56" s="101"/>
      <c r="BF56" s="101"/>
      <c r="BG56" s="101"/>
      <c r="BH56" s="487"/>
      <c r="BI56" s="101"/>
      <c r="BJ56" s="101"/>
      <c r="BK56" s="101"/>
      <c r="BL56" s="101"/>
      <c r="BM56" s="487"/>
      <c r="BN56" s="101"/>
      <c r="BO56" s="101"/>
      <c r="BP56" s="101"/>
      <c r="BQ56" s="101"/>
      <c r="BR56" s="487"/>
      <c r="BS56" s="101"/>
      <c r="BT56" s="101"/>
      <c r="BU56" s="101"/>
      <c r="BV56" s="101"/>
      <c r="BW56" s="398"/>
      <c r="BZ56" s="411"/>
      <c r="CA56" s="411"/>
    </row>
    <row r="57" spans="1:79" ht="12.75" customHeight="1" x14ac:dyDescent="0.2">
      <c r="A57" s="388"/>
      <c r="B57" s="388"/>
      <c r="D57" s="398" t="s">
        <v>382</v>
      </c>
      <c r="E57" s="487"/>
      <c r="F57" s="388"/>
      <c r="G57" s="101">
        <f>SUM(G58:G60)</f>
        <v>0</v>
      </c>
      <c r="H57" s="101"/>
      <c r="I57" s="101"/>
      <c r="J57" s="487"/>
      <c r="K57" s="101"/>
      <c r="L57" s="101">
        <f>SUM(L58:L60)</f>
        <v>1510000</v>
      </c>
      <c r="M57" s="101"/>
      <c r="N57" s="101"/>
      <c r="O57" s="487"/>
      <c r="P57" s="101"/>
      <c r="Q57" s="101">
        <f>SUM(Q58:Q60)</f>
        <v>7508000</v>
      </c>
      <c r="R57" s="101"/>
      <c r="S57" s="101"/>
      <c r="T57" s="487"/>
      <c r="U57" s="101"/>
      <c r="V57" s="101">
        <f>SUM(V58:V60)</f>
        <v>8200000</v>
      </c>
      <c r="W57" s="101"/>
      <c r="X57" s="101"/>
      <c r="Y57" s="487"/>
      <c r="Z57" s="101"/>
      <c r="AA57" s="101">
        <f>SUM(AA58:AA60)</f>
        <v>3508000</v>
      </c>
      <c r="AB57" s="101"/>
      <c r="AC57" s="101"/>
      <c r="AD57" s="487"/>
      <c r="AE57" s="101"/>
      <c r="AF57" s="101">
        <f>SUM(AF58:AF60)</f>
        <v>0</v>
      </c>
      <c r="AG57" s="101"/>
      <c r="AH57" s="101"/>
      <c r="AI57" s="487"/>
      <c r="AJ57" s="101"/>
      <c r="AK57" s="101">
        <f>SUM(AK58:AK60)</f>
        <v>6391000</v>
      </c>
      <c r="AL57" s="101"/>
      <c r="AM57" s="101"/>
      <c r="AN57" s="487"/>
      <c r="AO57" s="101"/>
      <c r="AP57" s="101">
        <f>SUM(AP58:AP60)</f>
        <v>0</v>
      </c>
      <c r="AQ57" s="101"/>
      <c r="AR57" s="101"/>
      <c r="AS57" s="487"/>
      <c r="AT57" s="101"/>
      <c r="AU57" s="101">
        <f>SUM(AU58:AU60)</f>
        <v>6646000</v>
      </c>
      <c r="AV57" s="101"/>
      <c r="AW57" s="101"/>
      <c r="AX57" s="487"/>
      <c r="AY57" s="101"/>
      <c r="AZ57" s="101">
        <f>SUM(AZ58:AZ60)</f>
        <v>2151000</v>
      </c>
      <c r="BA57" s="101"/>
      <c r="BB57" s="101"/>
      <c r="BC57" s="487"/>
      <c r="BD57" s="101"/>
      <c r="BE57" s="101">
        <f>SUM(BE58:BE60)</f>
        <v>4397000</v>
      </c>
      <c r="BF57" s="101"/>
      <c r="BG57" s="101"/>
      <c r="BH57" s="487"/>
      <c r="BI57" s="101"/>
      <c r="BJ57" s="101">
        <f>SUM(BJ58:BJ60)</f>
        <v>2203493</v>
      </c>
      <c r="BK57" s="101"/>
      <c r="BL57" s="101"/>
      <c r="BM57" s="487"/>
      <c r="BN57" s="101"/>
      <c r="BO57" s="101">
        <f>SUM(BO58:BO60)</f>
        <v>5501000</v>
      </c>
      <c r="BP57" s="101"/>
      <c r="BQ57" s="101"/>
      <c r="BR57" s="487"/>
      <c r="BS57" s="101"/>
      <c r="BT57" s="101">
        <f>SUM(BT58:BT60)</f>
        <v>48015493</v>
      </c>
      <c r="BU57" s="101"/>
      <c r="BV57" s="101"/>
      <c r="BW57" s="398"/>
      <c r="BZ57" s="411"/>
      <c r="CA57" s="411"/>
    </row>
    <row r="58" spans="1:79" ht="12.75" customHeight="1" x14ac:dyDescent="0.2">
      <c r="A58" s="388"/>
      <c r="B58" s="388"/>
      <c r="D58" s="398" t="s">
        <v>373</v>
      </c>
      <c r="E58" s="487"/>
      <c r="F58" s="412"/>
      <c r="G58" s="485">
        <v>0</v>
      </c>
      <c r="H58" s="486"/>
      <c r="I58" s="101"/>
      <c r="J58" s="487"/>
      <c r="K58" s="488"/>
      <c r="L58" s="485">
        <f>1510000-253860</f>
        <v>1256140</v>
      </c>
      <c r="M58" s="486"/>
      <c r="N58" s="101"/>
      <c r="O58" s="487"/>
      <c r="P58" s="488"/>
      <c r="Q58" s="485">
        <f>7508000-917243</f>
        <v>6590757</v>
      </c>
      <c r="R58" s="486"/>
      <c r="S58" s="101"/>
      <c r="T58" s="487"/>
      <c r="U58" s="488"/>
      <c r="V58" s="485">
        <f>8200000-1034972</f>
        <v>7165028</v>
      </c>
      <c r="W58" s="486"/>
      <c r="X58" s="101"/>
      <c r="Y58" s="487"/>
      <c r="Z58" s="488"/>
      <c r="AA58" s="485">
        <f>3508000-491482</f>
        <v>3016518</v>
      </c>
      <c r="AB58" s="486"/>
      <c r="AC58" s="101"/>
      <c r="AD58" s="487"/>
      <c r="AE58" s="488"/>
      <c r="AF58" s="485">
        <v>0</v>
      </c>
      <c r="AG58" s="486"/>
      <c r="AH58" s="101"/>
      <c r="AI58" s="487"/>
      <c r="AJ58" s="488"/>
      <c r="AK58" s="485">
        <f>6391000-983778</f>
        <v>5407222</v>
      </c>
      <c r="AL58" s="486"/>
      <c r="AM58" s="101"/>
      <c r="AN58" s="487"/>
      <c r="AO58" s="488"/>
      <c r="AP58" s="485">
        <v>0</v>
      </c>
      <c r="AQ58" s="486"/>
      <c r="AR58" s="101"/>
      <c r="AS58" s="487"/>
      <c r="AT58" s="488"/>
      <c r="AU58" s="485">
        <f>6646000-988220</f>
        <v>5657780</v>
      </c>
      <c r="AV58" s="486"/>
      <c r="AW58" s="101"/>
      <c r="AX58" s="487"/>
      <c r="AY58" s="488"/>
      <c r="AZ58" s="485">
        <f>2151000-262780</f>
        <v>1888220</v>
      </c>
      <c r="BA58" s="486"/>
      <c r="BB58" s="101"/>
      <c r="BC58" s="487"/>
      <c r="BD58" s="488"/>
      <c r="BE58" s="485">
        <f>4397000-540028</f>
        <v>3856972</v>
      </c>
      <c r="BF58" s="486"/>
      <c r="BG58" s="101"/>
      <c r="BH58" s="487"/>
      <c r="BI58" s="488"/>
      <c r="BJ58" s="485">
        <f>2203493-200914</f>
        <v>2002579</v>
      </c>
      <c r="BK58" s="486"/>
      <c r="BL58" s="101"/>
      <c r="BM58" s="487"/>
      <c r="BN58" s="488"/>
      <c r="BO58" s="485">
        <f>5501000-761983</f>
        <v>4739017</v>
      </c>
      <c r="BP58" s="486"/>
      <c r="BQ58" s="101"/>
      <c r="BR58" s="487"/>
      <c r="BS58" s="488"/>
      <c r="BT58" s="485">
        <f>SUM(L58:BO58)</f>
        <v>41580233</v>
      </c>
      <c r="BU58" s="486"/>
      <c r="BV58" s="101"/>
      <c r="BW58" s="398"/>
      <c r="BZ58" s="411"/>
      <c r="CA58" s="411"/>
    </row>
    <row r="59" spans="1:79" ht="12.75" customHeight="1" x14ac:dyDescent="0.2">
      <c r="A59" s="388"/>
      <c r="B59" s="388"/>
      <c r="D59" s="398" t="s">
        <v>375</v>
      </c>
      <c r="E59" s="487"/>
      <c r="F59" s="404"/>
      <c r="G59" s="101">
        <v>0</v>
      </c>
      <c r="H59" s="49"/>
      <c r="I59" s="101"/>
      <c r="J59" s="487"/>
      <c r="K59" s="487"/>
      <c r="L59" s="101">
        <v>253860</v>
      </c>
      <c r="M59" s="49"/>
      <c r="N59" s="101"/>
      <c r="O59" s="487"/>
      <c r="P59" s="487"/>
      <c r="Q59" s="101">
        <v>917243</v>
      </c>
      <c r="R59" s="49"/>
      <c r="S59" s="101"/>
      <c r="T59" s="487"/>
      <c r="U59" s="487"/>
      <c r="V59" s="101">
        <v>1034972</v>
      </c>
      <c r="W59" s="49"/>
      <c r="X59" s="101"/>
      <c r="Y59" s="487"/>
      <c r="Z59" s="487"/>
      <c r="AA59" s="101">
        <v>491482</v>
      </c>
      <c r="AB59" s="49"/>
      <c r="AC59" s="101"/>
      <c r="AD59" s="487"/>
      <c r="AE59" s="487"/>
      <c r="AF59" s="101">
        <v>0</v>
      </c>
      <c r="AG59" s="49"/>
      <c r="AH59" s="101"/>
      <c r="AI59" s="487"/>
      <c r="AJ59" s="487"/>
      <c r="AK59" s="101">
        <v>983778</v>
      </c>
      <c r="AL59" s="49"/>
      <c r="AM59" s="101"/>
      <c r="AN59" s="487"/>
      <c r="AO59" s="487"/>
      <c r="AP59" s="101">
        <v>0</v>
      </c>
      <c r="AQ59" s="49"/>
      <c r="AR59" s="101"/>
      <c r="AS59" s="487"/>
      <c r="AT59" s="487"/>
      <c r="AU59" s="101">
        <v>988220</v>
      </c>
      <c r="AV59" s="49"/>
      <c r="AW59" s="101"/>
      <c r="AX59" s="487"/>
      <c r="AY59" s="487"/>
      <c r="AZ59" s="101">
        <v>262780</v>
      </c>
      <c r="BA59" s="49"/>
      <c r="BB59" s="101"/>
      <c r="BC59" s="487"/>
      <c r="BD59" s="487"/>
      <c r="BE59" s="101">
        <v>540028</v>
      </c>
      <c r="BF59" s="49"/>
      <c r="BG59" s="101"/>
      <c r="BH59" s="487"/>
      <c r="BI59" s="487"/>
      <c r="BJ59" s="101">
        <v>200914</v>
      </c>
      <c r="BK59" s="49"/>
      <c r="BL59" s="101"/>
      <c r="BM59" s="487"/>
      <c r="BN59" s="487"/>
      <c r="BO59" s="101">
        <v>761983</v>
      </c>
      <c r="BP59" s="49"/>
      <c r="BQ59" s="101"/>
      <c r="BR59" s="487"/>
      <c r="BS59" s="487"/>
      <c r="BT59" s="101">
        <f>SUM(L59:BO59)</f>
        <v>6435260</v>
      </c>
      <c r="BU59" s="49"/>
      <c r="BV59" s="101"/>
      <c r="BW59" s="398"/>
      <c r="BZ59" s="411"/>
      <c r="CA59" s="411"/>
    </row>
    <row r="60" spans="1:79" ht="12.75" customHeight="1" x14ac:dyDescent="0.2">
      <c r="A60" s="388"/>
      <c r="B60" s="388"/>
      <c r="D60" s="398" t="s">
        <v>383</v>
      </c>
      <c r="E60" s="487"/>
      <c r="F60" s="427"/>
      <c r="G60" s="496">
        <v>0</v>
      </c>
      <c r="H60" s="90"/>
      <c r="I60" s="101"/>
      <c r="J60" s="487"/>
      <c r="K60" s="497"/>
      <c r="L60" s="496">
        <v>0</v>
      </c>
      <c r="M60" s="90"/>
      <c r="N60" s="101"/>
      <c r="O60" s="487"/>
      <c r="P60" s="497"/>
      <c r="Q60" s="496">
        <v>0</v>
      </c>
      <c r="R60" s="90"/>
      <c r="S60" s="101"/>
      <c r="T60" s="487"/>
      <c r="U60" s="497"/>
      <c r="V60" s="496">
        <v>0</v>
      </c>
      <c r="W60" s="90"/>
      <c r="X60" s="101"/>
      <c r="Y60" s="487"/>
      <c r="Z60" s="497"/>
      <c r="AA60" s="496">
        <v>0</v>
      </c>
      <c r="AB60" s="90"/>
      <c r="AC60" s="101"/>
      <c r="AD60" s="487"/>
      <c r="AE60" s="497"/>
      <c r="AF60" s="496">
        <v>0</v>
      </c>
      <c r="AG60" s="90"/>
      <c r="AH60" s="101"/>
      <c r="AI60" s="487"/>
      <c r="AJ60" s="497"/>
      <c r="AK60" s="496">
        <v>0</v>
      </c>
      <c r="AL60" s="90"/>
      <c r="AM60" s="101"/>
      <c r="AN60" s="487"/>
      <c r="AO60" s="497"/>
      <c r="AP60" s="496">
        <v>0</v>
      </c>
      <c r="AQ60" s="90"/>
      <c r="AR60" s="101"/>
      <c r="AS60" s="487"/>
      <c r="AT60" s="497"/>
      <c r="AU60" s="496">
        <v>0</v>
      </c>
      <c r="AV60" s="90"/>
      <c r="AW60" s="101"/>
      <c r="AX60" s="487"/>
      <c r="AY60" s="497"/>
      <c r="AZ60" s="496">
        <v>0</v>
      </c>
      <c r="BA60" s="90"/>
      <c r="BB60" s="101"/>
      <c r="BC60" s="487"/>
      <c r="BD60" s="497"/>
      <c r="BE60" s="496">
        <v>0</v>
      </c>
      <c r="BF60" s="90"/>
      <c r="BG60" s="101"/>
      <c r="BH60" s="487"/>
      <c r="BI60" s="497"/>
      <c r="BJ60" s="496">
        <v>0</v>
      </c>
      <c r="BK60" s="90"/>
      <c r="BL60" s="101"/>
      <c r="BM60" s="487"/>
      <c r="BN60" s="497"/>
      <c r="BO60" s="496">
        <v>0</v>
      </c>
      <c r="BP60" s="90"/>
      <c r="BQ60" s="101"/>
      <c r="BR60" s="487"/>
      <c r="BS60" s="497"/>
      <c r="BT60" s="496">
        <f>SUM(L60:BO60)</f>
        <v>0</v>
      </c>
      <c r="BU60" s="90"/>
      <c r="BV60" s="101"/>
      <c r="BW60" s="398"/>
      <c r="BZ60" s="411"/>
      <c r="CA60" s="411"/>
    </row>
    <row r="61" spans="1:79" ht="12.75" customHeight="1" x14ac:dyDescent="0.2">
      <c r="A61" s="388"/>
      <c r="B61" s="388"/>
      <c r="D61" s="398"/>
      <c r="E61" s="487"/>
      <c r="F61" s="388"/>
      <c r="G61" s="101"/>
      <c r="H61" s="101"/>
      <c r="I61" s="101"/>
      <c r="J61" s="487"/>
      <c r="K61" s="101"/>
      <c r="L61" s="101"/>
      <c r="M61" s="101"/>
      <c r="N61" s="101"/>
      <c r="O61" s="487"/>
      <c r="P61" s="101"/>
      <c r="Q61" s="101"/>
      <c r="R61" s="101"/>
      <c r="S61" s="101"/>
      <c r="T61" s="487"/>
      <c r="U61" s="101"/>
      <c r="V61" s="101"/>
      <c r="W61" s="101"/>
      <c r="X61" s="101"/>
      <c r="Y61" s="487"/>
      <c r="Z61" s="101"/>
      <c r="AA61" s="101"/>
      <c r="AB61" s="101"/>
      <c r="AC61" s="101"/>
      <c r="AD61" s="487"/>
      <c r="AE61" s="101"/>
      <c r="AF61" s="101"/>
      <c r="AG61" s="101"/>
      <c r="AH61" s="101"/>
      <c r="AI61" s="487"/>
      <c r="AJ61" s="101"/>
      <c r="AK61" s="101"/>
      <c r="AL61" s="101"/>
      <c r="AM61" s="101"/>
      <c r="AN61" s="487"/>
      <c r="AO61" s="101"/>
      <c r="AP61" s="101"/>
      <c r="AQ61" s="101"/>
      <c r="AR61" s="101"/>
      <c r="AS61" s="487"/>
      <c r="AT61" s="101"/>
      <c r="AU61" s="101"/>
      <c r="AV61" s="101"/>
      <c r="AW61" s="101"/>
      <c r="AX61" s="487"/>
      <c r="AY61" s="101"/>
      <c r="AZ61" s="101"/>
      <c r="BA61" s="101"/>
      <c r="BB61" s="101"/>
      <c r="BC61" s="487"/>
      <c r="BD61" s="101"/>
      <c r="BE61" s="101"/>
      <c r="BF61" s="101"/>
      <c r="BG61" s="101"/>
      <c r="BH61" s="487"/>
      <c r="BI61" s="101"/>
      <c r="BJ61" s="101"/>
      <c r="BK61" s="101"/>
      <c r="BL61" s="101"/>
      <c r="BM61" s="487"/>
      <c r="BN61" s="101"/>
      <c r="BO61" s="101"/>
      <c r="BP61" s="101"/>
      <c r="BQ61" s="101"/>
      <c r="BR61" s="487"/>
      <c r="BS61" s="101"/>
      <c r="BT61" s="101"/>
      <c r="BU61" s="101"/>
      <c r="BV61" s="101"/>
      <c r="BW61" s="398"/>
      <c r="BZ61" s="411"/>
      <c r="CA61" s="411"/>
    </row>
    <row r="62" spans="1:79" ht="12.75" x14ac:dyDescent="0.2">
      <c r="A62" s="388"/>
      <c r="B62" s="388"/>
      <c r="D62" s="398" t="s">
        <v>384</v>
      </c>
      <c r="E62" s="487"/>
      <c r="F62" s="388"/>
      <c r="G62" s="101">
        <f>SUM(G63:G65)</f>
        <v>0</v>
      </c>
      <c r="H62" s="101"/>
      <c r="I62" s="101"/>
      <c r="J62" s="487"/>
      <c r="K62" s="101"/>
      <c r="L62" s="101">
        <f>SUM(L63:L65)</f>
        <v>6933000</v>
      </c>
      <c r="M62" s="101"/>
      <c r="N62" s="101"/>
      <c r="O62" s="487"/>
      <c r="P62" s="101"/>
      <c r="Q62" s="101">
        <f>SUM(Q63:Q65)</f>
        <v>9652000</v>
      </c>
      <c r="R62" s="101"/>
      <c r="S62" s="101"/>
      <c r="T62" s="487"/>
      <c r="U62" s="101"/>
      <c r="V62" s="101">
        <f>SUM(V63:V65)</f>
        <v>5365000</v>
      </c>
      <c r="W62" s="101"/>
      <c r="X62" s="101"/>
      <c r="Y62" s="487"/>
      <c r="Z62" s="101"/>
      <c r="AA62" s="101">
        <f>SUM(AA63:AA65)</f>
        <v>19611000</v>
      </c>
      <c r="AB62" s="101"/>
      <c r="AC62" s="101"/>
      <c r="AD62" s="487"/>
      <c r="AE62" s="101"/>
      <c r="AF62" s="101">
        <f>SUM(AF63:AF65)</f>
        <v>7976000</v>
      </c>
      <c r="AG62" s="101"/>
      <c r="AH62" s="101"/>
      <c r="AI62" s="487"/>
      <c r="AJ62" s="101"/>
      <c r="AK62" s="101">
        <f>SUM(AK63:AK65)</f>
        <v>4403000</v>
      </c>
      <c r="AL62" s="101"/>
      <c r="AM62" s="101"/>
      <c r="AN62" s="487"/>
      <c r="AO62" s="101"/>
      <c r="AP62" s="101">
        <f>SUM(AP63:AP65)</f>
        <v>12162000</v>
      </c>
      <c r="AQ62" s="101"/>
      <c r="AR62" s="101"/>
      <c r="AS62" s="487"/>
      <c r="AT62" s="101"/>
      <c r="AU62" s="101">
        <f>SUM(AU63:AU65)</f>
        <v>4448000</v>
      </c>
      <c r="AV62" s="101"/>
      <c r="AW62" s="101"/>
      <c r="AX62" s="487"/>
      <c r="AY62" s="101"/>
      <c r="AZ62" s="101">
        <f>SUM(AZ63:AZ65)</f>
        <v>12828000</v>
      </c>
      <c r="BA62" s="101"/>
      <c r="BB62" s="101"/>
      <c r="BC62" s="487"/>
      <c r="BD62" s="101"/>
      <c r="BE62" s="101">
        <f>SUM(BE63:BE65)</f>
        <v>6604000</v>
      </c>
      <c r="BF62" s="101"/>
      <c r="BG62" s="101"/>
      <c r="BH62" s="487"/>
      <c r="BI62" s="101"/>
      <c r="BJ62" s="101">
        <f>SUM(BJ63:BJ65)</f>
        <v>185197</v>
      </c>
      <c r="BK62" s="101"/>
      <c r="BL62" s="101"/>
      <c r="BM62" s="487"/>
      <c r="BN62" s="101"/>
      <c r="BO62" s="101">
        <f>SUM(BO63:BO65)</f>
        <v>5126000</v>
      </c>
      <c r="BP62" s="101"/>
      <c r="BQ62" s="101"/>
      <c r="BR62" s="487"/>
      <c r="BS62" s="101"/>
      <c r="BT62" s="101">
        <f>SUM(BT63:BT65)</f>
        <v>95293197</v>
      </c>
      <c r="BU62" s="101"/>
      <c r="BV62" s="101"/>
      <c r="BW62" s="398"/>
      <c r="BZ62" s="411"/>
      <c r="CA62" s="411"/>
    </row>
    <row r="63" spans="1:79" ht="12.75" x14ac:dyDescent="0.2">
      <c r="A63" s="388"/>
      <c r="B63" s="388"/>
      <c r="D63" s="398" t="s">
        <v>373</v>
      </c>
      <c r="E63" s="487"/>
      <c r="F63" s="412"/>
      <c r="G63" s="485">
        <v>0</v>
      </c>
      <c r="H63" s="486"/>
      <c r="I63" s="101"/>
      <c r="J63" s="487"/>
      <c r="K63" s="488"/>
      <c r="L63" s="485">
        <f>6933000+289208</f>
        <v>7222208</v>
      </c>
      <c r="M63" s="486"/>
      <c r="N63" s="101"/>
      <c r="O63" s="487"/>
      <c r="P63" s="488"/>
      <c r="Q63" s="485">
        <f>9652000+1102248</f>
        <v>10754248</v>
      </c>
      <c r="R63" s="486"/>
      <c r="S63" s="101"/>
      <c r="T63" s="487"/>
      <c r="U63" s="488"/>
      <c r="V63" s="485">
        <f>5365000+764417</f>
        <v>6129417</v>
      </c>
      <c r="W63" s="486"/>
      <c r="X63" s="101"/>
      <c r="Y63" s="487"/>
      <c r="Z63" s="488"/>
      <c r="AA63" s="485">
        <f>19611000+2780721</f>
        <v>22391721</v>
      </c>
      <c r="AB63" s="486"/>
      <c r="AC63" s="101"/>
      <c r="AD63" s="487"/>
      <c r="AE63" s="488"/>
      <c r="AF63" s="485">
        <f>7976000+1213553</f>
        <v>9189553</v>
      </c>
      <c r="AG63" s="486"/>
      <c r="AH63" s="101"/>
      <c r="AI63" s="487"/>
      <c r="AJ63" s="488"/>
      <c r="AK63" s="485">
        <f>4403000+716835</f>
        <v>5119835</v>
      </c>
      <c r="AL63" s="486"/>
      <c r="AM63" s="101"/>
      <c r="AN63" s="487"/>
      <c r="AO63" s="488"/>
      <c r="AP63" s="485">
        <f>12162000+2010551</f>
        <v>14172551</v>
      </c>
      <c r="AQ63" s="486"/>
      <c r="AR63" s="101"/>
      <c r="AS63" s="487"/>
      <c r="AT63" s="488"/>
      <c r="AU63" s="485">
        <f>4448000+777625</f>
        <v>5225625</v>
      </c>
      <c r="AV63" s="486"/>
      <c r="AW63" s="101"/>
      <c r="AX63" s="487"/>
      <c r="AY63" s="488"/>
      <c r="AZ63" s="485">
        <f>12828000+2213621</f>
        <v>15041621</v>
      </c>
      <c r="BA63" s="486"/>
      <c r="BB63" s="101"/>
      <c r="BC63" s="487"/>
      <c r="BD63" s="488"/>
      <c r="BE63" s="485">
        <f>6604000+1216723</f>
        <v>7820723</v>
      </c>
      <c r="BF63" s="486"/>
      <c r="BG63" s="101"/>
      <c r="BH63" s="487"/>
      <c r="BI63" s="488"/>
      <c r="BJ63" s="485">
        <f>185197+33827</f>
        <v>219024</v>
      </c>
      <c r="BK63" s="486"/>
      <c r="BL63" s="101"/>
      <c r="BM63" s="487"/>
      <c r="BN63" s="488"/>
      <c r="BO63" s="485">
        <f>5126000+756787</f>
        <v>5882787</v>
      </c>
      <c r="BP63" s="486"/>
      <c r="BQ63" s="101"/>
      <c r="BR63" s="487"/>
      <c r="BS63" s="488"/>
      <c r="BT63" s="485">
        <f>SUM(L63:BO63)</f>
        <v>109169313</v>
      </c>
      <c r="BU63" s="486"/>
      <c r="BV63" s="101"/>
      <c r="BW63" s="398"/>
      <c r="BZ63" s="411"/>
      <c r="CA63" s="411"/>
    </row>
    <row r="64" spans="1:79" ht="12.75" x14ac:dyDescent="0.2">
      <c r="A64" s="388"/>
      <c r="B64" s="388"/>
      <c r="D64" s="398" t="s">
        <v>375</v>
      </c>
      <c r="E64" s="487"/>
      <c r="F64" s="404"/>
      <c r="G64" s="101">
        <v>0</v>
      </c>
      <c r="H64" s="49"/>
      <c r="I64" s="101"/>
      <c r="J64" s="487"/>
      <c r="K64" s="487"/>
      <c r="L64" s="101">
        <v>0</v>
      </c>
      <c r="M64" s="49"/>
      <c r="N64" s="101"/>
      <c r="O64" s="487"/>
      <c r="P64" s="487"/>
      <c r="Q64" s="101">
        <v>0</v>
      </c>
      <c r="R64" s="49"/>
      <c r="S64" s="101"/>
      <c r="T64" s="487"/>
      <c r="U64" s="487"/>
      <c r="V64" s="101">
        <v>0</v>
      </c>
      <c r="W64" s="49"/>
      <c r="X64" s="101"/>
      <c r="Y64" s="487"/>
      <c r="Z64" s="487"/>
      <c r="AA64" s="101">
        <v>0</v>
      </c>
      <c r="AB64" s="49"/>
      <c r="AC64" s="101"/>
      <c r="AD64" s="487"/>
      <c r="AE64" s="487"/>
      <c r="AF64" s="101">
        <v>0</v>
      </c>
      <c r="AG64" s="49"/>
      <c r="AH64" s="101"/>
      <c r="AI64" s="487"/>
      <c r="AJ64" s="487"/>
      <c r="AK64" s="101">
        <v>0</v>
      </c>
      <c r="AL64" s="49"/>
      <c r="AM64" s="101"/>
      <c r="AN64" s="487"/>
      <c r="AO64" s="487"/>
      <c r="AP64" s="101">
        <v>0</v>
      </c>
      <c r="AQ64" s="49"/>
      <c r="AR64" s="101"/>
      <c r="AS64" s="487"/>
      <c r="AT64" s="487"/>
      <c r="AU64" s="101">
        <v>0</v>
      </c>
      <c r="AV64" s="49"/>
      <c r="AW64" s="101"/>
      <c r="AX64" s="487"/>
      <c r="AY64" s="487"/>
      <c r="AZ64" s="101">
        <v>0</v>
      </c>
      <c r="BA64" s="49"/>
      <c r="BB64" s="101"/>
      <c r="BC64" s="487"/>
      <c r="BD64" s="487"/>
      <c r="BE64" s="101">
        <v>0</v>
      </c>
      <c r="BF64" s="49"/>
      <c r="BG64" s="101"/>
      <c r="BH64" s="487"/>
      <c r="BI64" s="487"/>
      <c r="BJ64" s="101">
        <v>0</v>
      </c>
      <c r="BK64" s="49"/>
      <c r="BL64" s="101"/>
      <c r="BM64" s="487"/>
      <c r="BN64" s="487"/>
      <c r="BO64" s="101">
        <v>0</v>
      </c>
      <c r="BP64" s="49"/>
      <c r="BQ64" s="101"/>
      <c r="BR64" s="487"/>
      <c r="BS64" s="487"/>
      <c r="BT64" s="101">
        <f>SUM(L64:BO64)</f>
        <v>0</v>
      </c>
      <c r="BU64" s="49"/>
      <c r="BV64" s="101"/>
      <c r="BW64" s="398"/>
      <c r="BZ64" s="411"/>
      <c r="CA64" s="411"/>
    </row>
    <row r="65" spans="1:79" ht="12.75" x14ac:dyDescent="0.2">
      <c r="A65" s="388"/>
      <c r="B65" s="388"/>
      <c r="D65" s="398" t="s">
        <v>383</v>
      </c>
      <c r="E65" s="487"/>
      <c r="F65" s="427"/>
      <c r="G65" s="496">
        <v>0</v>
      </c>
      <c r="H65" s="90"/>
      <c r="I65" s="101"/>
      <c r="J65" s="487"/>
      <c r="K65" s="497"/>
      <c r="L65" s="496">
        <v>-289208</v>
      </c>
      <c r="M65" s="90"/>
      <c r="N65" s="101"/>
      <c r="O65" s="487"/>
      <c r="P65" s="497"/>
      <c r="Q65" s="496">
        <v>-1102248</v>
      </c>
      <c r="R65" s="90"/>
      <c r="S65" s="101"/>
      <c r="T65" s="487"/>
      <c r="U65" s="497"/>
      <c r="V65" s="496">
        <v>-764417</v>
      </c>
      <c r="W65" s="90"/>
      <c r="X65" s="101"/>
      <c r="Y65" s="487"/>
      <c r="Z65" s="497"/>
      <c r="AA65" s="496">
        <v>-2780721</v>
      </c>
      <c r="AB65" s="90"/>
      <c r="AC65" s="101"/>
      <c r="AD65" s="487"/>
      <c r="AE65" s="497"/>
      <c r="AF65" s="496">
        <v>-1213553</v>
      </c>
      <c r="AG65" s="90"/>
      <c r="AH65" s="101"/>
      <c r="AI65" s="487"/>
      <c r="AJ65" s="497"/>
      <c r="AK65" s="496">
        <v>-716835</v>
      </c>
      <c r="AL65" s="90"/>
      <c r="AM65" s="101"/>
      <c r="AN65" s="487"/>
      <c r="AO65" s="497"/>
      <c r="AP65" s="496">
        <v>-2010551</v>
      </c>
      <c r="AQ65" s="90"/>
      <c r="AR65" s="101"/>
      <c r="AS65" s="487"/>
      <c r="AT65" s="497"/>
      <c r="AU65" s="496">
        <v>-777625</v>
      </c>
      <c r="AV65" s="90"/>
      <c r="AW65" s="101"/>
      <c r="AX65" s="487"/>
      <c r="AY65" s="497"/>
      <c r="AZ65" s="496">
        <v>-2213621</v>
      </c>
      <c r="BA65" s="90"/>
      <c r="BB65" s="101"/>
      <c r="BC65" s="487"/>
      <c r="BD65" s="497"/>
      <c r="BE65" s="496">
        <v>-1216723</v>
      </c>
      <c r="BF65" s="90"/>
      <c r="BG65" s="101"/>
      <c r="BH65" s="487"/>
      <c r="BI65" s="497"/>
      <c r="BJ65" s="496">
        <v>-33827</v>
      </c>
      <c r="BK65" s="90"/>
      <c r="BL65" s="101"/>
      <c r="BM65" s="487"/>
      <c r="BN65" s="497"/>
      <c r="BO65" s="496">
        <v>-756787</v>
      </c>
      <c r="BP65" s="90"/>
      <c r="BQ65" s="101"/>
      <c r="BR65" s="487"/>
      <c r="BS65" s="497"/>
      <c r="BT65" s="496">
        <f>SUM(L65:BO65)</f>
        <v>-13876116</v>
      </c>
      <c r="BU65" s="90"/>
      <c r="BV65" s="101"/>
      <c r="BW65" s="398"/>
      <c r="BZ65" s="411"/>
      <c r="CA65" s="411"/>
    </row>
    <row r="66" spans="1:79" ht="12.75" x14ac:dyDescent="0.2">
      <c r="A66" s="388"/>
      <c r="B66" s="388"/>
      <c r="D66" s="398"/>
      <c r="E66" s="487"/>
      <c r="F66" s="388"/>
      <c r="G66" s="101"/>
      <c r="H66" s="101"/>
      <c r="I66" s="101"/>
      <c r="J66" s="487"/>
      <c r="K66" s="101"/>
      <c r="L66" s="101"/>
      <c r="M66" s="101"/>
      <c r="N66" s="101"/>
      <c r="O66" s="487"/>
      <c r="P66" s="101"/>
      <c r="Q66" s="101"/>
      <c r="R66" s="101"/>
      <c r="S66" s="101"/>
      <c r="T66" s="487"/>
      <c r="U66" s="101"/>
      <c r="V66" s="101"/>
      <c r="W66" s="101"/>
      <c r="X66" s="101"/>
      <c r="Y66" s="487"/>
      <c r="Z66" s="101"/>
      <c r="AA66" s="101"/>
      <c r="AB66" s="101"/>
      <c r="AC66" s="101"/>
      <c r="AD66" s="487"/>
      <c r="AE66" s="101"/>
      <c r="AF66" s="101"/>
      <c r="AG66" s="101"/>
      <c r="AH66" s="101"/>
      <c r="AI66" s="487"/>
      <c r="AJ66" s="101"/>
      <c r="AK66" s="101"/>
      <c r="AL66" s="101"/>
      <c r="AM66" s="101"/>
      <c r="AN66" s="487"/>
      <c r="AO66" s="101"/>
      <c r="AP66" s="101"/>
      <c r="AQ66" s="101"/>
      <c r="AR66" s="101"/>
      <c r="AS66" s="487"/>
      <c r="AT66" s="101"/>
      <c r="AU66" s="101"/>
      <c r="AV66" s="101"/>
      <c r="AW66" s="101"/>
      <c r="AX66" s="487"/>
      <c r="AY66" s="101"/>
      <c r="AZ66" s="101"/>
      <c r="BA66" s="101"/>
      <c r="BB66" s="101"/>
      <c r="BC66" s="487"/>
      <c r="BD66" s="101"/>
      <c r="BE66" s="101"/>
      <c r="BF66" s="101"/>
      <c r="BG66" s="101"/>
      <c r="BH66" s="487"/>
      <c r="BI66" s="101"/>
      <c r="BJ66" s="101"/>
      <c r="BK66" s="101"/>
      <c r="BL66" s="101"/>
      <c r="BM66" s="487"/>
      <c r="BN66" s="101"/>
      <c r="BO66" s="101"/>
      <c r="BP66" s="101"/>
      <c r="BQ66" s="101"/>
      <c r="BR66" s="487"/>
      <c r="BS66" s="101"/>
      <c r="BT66" s="101"/>
      <c r="BU66" s="101"/>
      <c r="BV66" s="101"/>
      <c r="BW66" s="398"/>
      <c r="BZ66" s="411"/>
      <c r="CA66" s="411"/>
    </row>
    <row r="67" spans="1:79" ht="12.75" hidden="1" customHeight="1" x14ac:dyDescent="0.2">
      <c r="A67" s="388"/>
      <c r="B67" s="388"/>
      <c r="D67" s="398" t="s">
        <v>385</v>
      </c>
      <c r="E67" s="487"/>
      <c r="F67" s="388"/>
      <c r="G67" s="101">
        <f>SUM(G68:G71)</f>
        <v>0</v>
      </c>
      <c r="H67" s="101"/>
      <c r="I67" s="101"/>
      <c r="J67" s="487"/>
      <c r="K67" s="101"/>
      <c r="L67" s="101">
        <f>SUM(L68:L71)</f>
        <v>0</v>
      </c>
      <c r="M67" s="101"/>
      <c r="N67" s="101"/>
      <c r="O67" s="487"/>
      <c r="P67" s="101"/>
      <c r="Q67" s="101">
        <f>SUM(Q68:Q71)</f>
        <v>0</v>
      </c>
      <c r="R67" s="101"/>
      <c r="S67" s="101"/>
      <c r="T67" s="487"/>
      <c r="U67" s="101"/>
      <c r="V67" s="101">
        <f>SUM(V68:V71)</f>
        <v>0</v>
      </c>
      <c r="W67" s="101"/>
      <c r="X67" s="101"/>
      <c r="Y67" s="487"/>
      <c r="Z67" s="101"/>
      <c r="AA67" s="101">
        <f>SUM(AA68:AA71)</f>
        <v>0</v>
      </c>
      <c r="AB67" s="101"/>
      <c r="AC67" s="101"/>
      <c r="AD67" s="487"/>
      <c r="AE67" s="101"/>
      <c r="AF67" s="101">
        <f>SUM(AF68:AF71)</f>
        <v>0</v>
      </c>
      <c r="AG67" s="101"/>
      <c r="AH67" s="101"/>
      <c r="AI67" s="487"/>
      <c r="AJ67" s="101"/>
      <c r="AK67" s="101">
        <f>SUM(AK68:AK71)</f>
        <v>0</v>
      </c>
      <c r="AL67" s="101"/>
      <c r="AM67" s="101"/>
      <c r="AN67" s="487"/>
      <c r="AO67" s="101"/>
      <c r="AP67" s="101">
        <f>SUM(AP68:AP71)</f>
        <v>0</v>
      </c>
      <c r="AQ67" s="101"/>
      <c r="AR67" s="101"/>
      <c r="AS67" s="487"/>
      <c r="AT67" s="101"/>
      <c r="AU67" s="101">
        <f>SUM(AU68:AU71)</f>
        <v>0</v>
      </c>
      <c r="AV67" s="101"/>
      <c r="AW67" s="101"/>
      <c r="AX67" s="487"/>
      <c r="AY67" s="101"/>
      <c r="AZ67" s="101">
        <f>SUM(AZ68:AZ71)</f>
        <v>0</v>
      </c>
      <c r="BA67" s="101"/>
      <c r="BB67" s="101"/>
      <c r="BC67" s="487"/>
      <c r="BD67" s="101"/>
      <c r="BE67" s="101">
        <f>SUM(BE68:BE71)</f>
        <v>0</v>
      </c>
      <c r="BF67" s="101"/>
      <c r="BG67" s="101"/>
      <c r="BH67" s="487"/>
      <c r="BI67" s="101"/>
      <c r="BJ67" s="101">
        <f>SUM(BJ68:BJ71)</f>
        <v>0</v>
      </c>
      <c r="BK67" s="101"/>
      <c r="BL67" s="101"/>
      <c r="BM67" s="487"/>
      <c r="BN67" s="101"/>
      <c r="BO67" s="101">
        <f>SUM(BO68:BO71)</f>
        <v>0</v>
      </c>
      <c r="BP67" s="101"/>
      <c r="BQ67" s="101"/>
      <c r="BR67" s="487"/>
      <c r="BS67" s="101"/>
      <c r="BT67" s="101">
        <f>SUM(BT68:BT71)</f>
        <v>0</v>
      </c>
      <c r="BU67" s="101"/>
      <c r="BV67" s="101"/>
      <c r="BW67" s="398"/>
      <c r="BZ67" s="411"/>
      <c r="CA67" s="411"/>
    </row>
    <row r="68" spans="1:79" ht="12.75" hidden="1" customHeight="1" x14ac:dyDescent="0.2">
      <c r="A68" s="388"/>
      <c r="B68" s="388"/>
      <c r="D68" s="398" t="s">
        <v>373</v>
      </c>
      <c r="E68" s="487"/>
      <c r="F68" s="412"/>
      <c r="G68" s="485">
        <v>0</v>
      </c>
      <c r="H68" s="486"/>
      <c r="I68" s="101"/>
      <c r="J68" s="487"/>
      <c r="K68" s="488"/>
      <c r="L68" s="485">
        <v>0</v>
      </c>
      <c r="M68" s="486"/>
      <c r="N68" s="101"/>
      <c r="O68" s="487"/>
      <c r="P68" s="488"/>
      <c r="Q68" s="485">
        <v>0</v>
      </c>
      <c r="R68" s="486"/>
      <c r="S68" s="101"/>
      <c r="T68" s="487"/>
      <c r="U68" s="488"/>
      <c r="V68" s="485">
        <v>0</v>
      </c>
      <c r="W68" s="486"/>
      <c r="X68" s="101"/>
      <c r="Y68" s="487"/>
      <c r="Z68" s="488"/>
      <c r="AA68" s="485">
        <v>0</v>
      </c>
      <c r="AB68" s="486"/>
      <c r="AC68" s="101"/>
      <c r="AD68" s="487"/>
      <c r="AE68" s="488"/>
      <c r="AF68" s="485">
        <v>0</v>
      </c>
      <c r="AG68" s="486"/>
      <c r="AH68" s="101"/>
      <c r="AI68" s="487"/>
      <c r="AJ68" s="488"/>
      <c r="AK68" s="485">
        <v>0</v>
      </c>
      <c r="AL68" s="486"/>
      <c r="AM68" s="101"/>
      <c r="AN68" s="487"/>
      <c r="AO68" s="488"/>
      <c r="AP68" s="485">
        <v>0</v>
      </c>
      <c r="AQ68" s="486"/>
      <c r="AR68" s="101"/>
      <c r="AS68" s="487"/>
      <c r="AT68" s="488"/>
      <c r="AU68" s="485">
        <v>0</v>
      </c>
      <c r="AV68" s="486"/>
      <c r="AW68" s="101"/>
      <c r="AX68" s="487"/>
      <c r="AY68" s="488"/>
      <c r="AZ68" s="485">
        <v>0</v>
      </c>
      <c r="BA68" s="486"/>
      <c r="BB68" s="101"/>
      <c r="BC68" s="487"/>
      <c r="BD68" s="488"/>
      <c r="BE68" s="485">
        <v>0</v>
      </c>
      <c r="BF68" s="486"/>
      <c r="BG68" s="101"/>
      <c r="BH68" s="487"/>
      <c r="BI68" s="488"/>
      <c r="BJ68" s="485">
        <v>0</v>
      </c>
      <c r="BK68" s="486"/>
      <c r="BL68" s="101"/>
      <c r="BM68" s="487"/>
      <c r="BN68" s="488"/>
      <c r="BO68" s="485">
        <v>0</v>
      </c>
      <c r="BP68" s="486"/>
      <c r="BQ68" s="101"/>
      <c r="BR68" s="487"/>
      <c r="BS68" s="488"/>
      <c r="BT68" s="485">
        <f>SUM(L68:BO68)</f>
        <v>0</v>
      </c>
      <c r="BU68" s="486"/>
      <c r="BV68" s="101"/>
      <c r="BW68" s="398"/>
      <c r="BZ68" s="411"/>
      <c r="CA68" s="411"/>
    </row>
    <row r="69" spans="1:79" ht="12.75" hidden="1" customHeight="1" x14ac:dyDescent="0.2">
      <c r="A69" s="388"/>
      <c r="B69" s="388"/>
      <c r="D69" s="398" t="s">
        <v>375</v>
      </c>
      <c r="E69" s="487"/>
      <c r="F69" s="404"/>
      <c r="G69" s="101">
        <v>0</v>
      </c>
      <c r="H69" s="49"/>
      <c r="I69" s="101"/>
      <c r="J69" s="487"/>
      <c r="K69" s="487"/>
      <c r="L69" s="101">
        <v>0</v>
      </c>
      <c r="M69" s="49"/>
      <c r="N69" s="101"/>
      <c r="O69" s="487"/>
      <c r="P69" s="487"/>
      <c r="Q69" s="101">
        <v>0</v>
      </c>
      <c r="R69" s="49"/>
      <c r="S69" s="101"/>
      <c r="T69" s="487"/>
      <c r="U69" s="487"/>
      <c r="V69" s="101">
        <v>0</v>
      </c>
      <c r="W69" s="49"/>
      <c r="X69" s="101"/>
      <c r="Y69" s="487"/>
      <c r="Z69" s="487"/>
      <c r="AA69" s="101">
        <v>0</v>
      </c>
      <c r="AB69" s="49"/>
      <c r="AC69" s="101"/>
      <c r="AD69" s="487"/>
      <c r="AE69" s="487"/>
      <c r="AF69" s="101">
        <v>0</v>
      </c>
      <c r="AG69" s="49"/>
      <c r="AH69" s="101"/>
      <c r="AI69" s="487"/>
      <c r="AJ69" s="487"/>
      <c r="AK69" s="101">
        <v>0</v>
      </c>
      <c r="AL69" s="49"/>
      <c r="AM69" s="101"/>
      <c r="AN69" s="487"/>
      <c r="AO69" s="487"/>
      <c r="AP69" s="101">
        <v>0</v>
      </c>
      <c r="AQ69" s="49"/>
      <c r="AR69" s="101"/>
      <c r="AS69" s="487"/>
      <c r="AT69" s="487"/>
      <c r="AU69" s="101">
        <v>0</v>
      </c>
      <c r="AV69" s="49"/>
      <c r="AW69" s="101"/>
      <c r="AX69" s="487"/>
      <c r="AY69" s="487"/>
      <c r="AZ69" s="101">
        <v>0</v>
      </c>
      <c r="BA69" s="49"/>
      <c r="BB69" s="101"/>
      <c r="BC69" s="487"/>
      <c r="BD69" s="487"/>
      <c r="BE69" s="101">
        <v>0</v>
      </c>
      <c r="BF69" s="49"/>
      <c r="BG69" s="101"/>
      <c r="BH69" s="487"/>
      <c r="BI69" s="487"/>
      <c r="BJ69" s="101">
        <v>0</v>
      </c>
      <c r="BK69" s="49"/>
      <c r="BL69" s="101"/>
      <c r="BM69" s="487"/>
      <c r="BN69" s="487"/>
      <c r="BO69" s="101">
        <v>0</v>
      </c>
      <c r="BP69" s="49"/>
      <c r="BQ69" s="101"/>
      <c r="BR69" s="487"/>
      <c r="BS69" s="487"/>
      <c r="BT69" s="101">
        <f>SUM(L69:BO69)</f>
        <v>0</v>
      </c>
      <c r="BU69" s="49"/>
      <c r="BV69" s="101"/>
      <c r="BW69" s="398"/>
      <c r="BZ69" s="411"/>
      <c r="CA69" s="411"/>
    </row>
    <row r="70" spans="1:79" ht="12.75" hidden="1" customHeight="1" x14ac:dyDescent="0.2">
      <c r="A70" s="388"/>
      <c r="B70" s="388"/>
      <c r="D70" s="398" t="s">
        <v>376</v>
      </c>
      <c r="E70" s="487"/>
      <c r="F70" s="404"/>
      <c r="G70" s="101">
        <v>0</v>
      </c>
      <c r="H70" s="49"/>
      <c r="I70" s="101"/>
      <c r="J70" s="487"/>
      <c r="K70" s="487"/>
      <c r="L70" s="101">
        <v>0</v>
      </c>
      <c r="M70" s="49"/>
      <c r="N70" s="101"/>
      <c r="O70" s="487"/>
      <c r="P70" s="487"/>
      <c r="Q70" s="101">
        <v>0</v>
      </c>
      <c r="R70" s="49"/>
      <c r="S70" s="101"/>
      <c r="T70" s="487"/>
      <c r="U70" s="487"/>
      <c r="V70" s="101">
        <v>0</v>
      </c>
      <c r="W70" s="49"/>
      <c r="X70" s="101"/>
      <c r="Y70" s="487"/>
      <c r="Z70" s="487"/>
      <c r="AA70" s="101">
        <v>0</v>
      </c>
      <c r="AB70" s="49"/>
      <c r="AC70" s="101"/>
      <c r="AD70" s="487"/>
      <c r="AE70" s="487"/>
      <c r="AF70" s="101">
        <v>0</v>
      </c>
      <c r="AG70" s="49"/>
      <c r="AH70" s="101"/>
      <c r="AI70" s="487"/>
      <c r="AJ70" s="487"/>
      <c r="AK70" s="101">
        <v>0</v>
      </c>
      <c r="AL70" s="49"/>
      <c r="AM70" s="101"/>
      <c r="AN70" s="487"/>
      <c r="AO70" s="487"/>
      <c r="AP70" s="101">
        <v>0</v>
      </c>
      <c r="AQ70" s="49"/>
      <c r="AR70" s="101"/>
      <c r="AS70" s="487"/>
      <c r="AT70" s="487"/>
      <c r="AU70" s="101">
        <v>0</v>
      </c>
      <c r="AV70" s="49"/>
      <c r="AW70" s="101"/>
      <c r="AX70" s="487"/>
      <c r="AY70" s="487"/>
      <c r="AZ70" s="101">
        <v>0</v>
      </c>
      <c r="BA70" s="49"/>
      <c r="BB70" s="101"/>
      <c r="BC70" s="487"/>
      <c r="BD70" s="487"/>
      <c r="BE70" s="101">
        <v>0</v>
      </c>
      <c r="BF70" s="49"/>
      <c r="BG70" s="101"/>
      <c r="BH70" s="487"/>
      <c r="BI70" s="487"/>
      <c r="BJ70" s="101">
        <v>0</v>
      </c>
      <c r="BK70" s="49"/>
      <c r="BL70" s="101"/>
      <c r="BM70" s="487"/>
      <c r="BN70" s="487"/>
      <c r="BO70" s="101">
        <v>0</v>
      </c>
      <c r="BP70" s="49"/>
      <c r="BQ70" s="101"/>
      <c r="BR70" s="487"/>
      <c r="BS70" s="487"/>
      <c r="BT70" s="101">
        <f>SUM(L70:BO70)</f>
        <v>0</v>
      </c>
      <c r="BU70" s="49"/>
      <c r="BV70" s="101"/>
      <c r="BW70" s="398"/>
      <c r="BZ70" s="411"/>
      <c r="CA70" s="411"/>
    </row>
    <row r="71" spans="1:79" ht="12.75" hidden="1" customHeight="1" x14ac:dyDescent="0.2">
      <c r="A71" s="388"/>
      <c r="B71" s="388"/>
      <c r="D71" s="398" t="s">
        <v>377</v>
      </c>
      <c r="E71" s="487"/>
      <c r="F71" s="427"/>
      <c r="G71" s="496">
        <v>0</v>
      </c>
      <c r="H71" s="90"/>
      <c r="I71" s="101"/>
      <c r="J71" s="487"/>
      <c r="K71" s="497"/>
      <c r="L71" s="496">
        <v>0</v>
      </c>
      <c r="M71" s="90"/>
      <c r="N71" s="101"/>
      <c r="O71" s="487"/>
      <c r="P71" s="497"/>
      <c r="Q71" s="496">
        <v>0</v>
      </c>
      <c r="R71" s="90"/>
      <c r="S71" s="101"/>
      <c r="T71" s="487"/>
      <c r="U71" s="497"/>
      <c r="V71" s="496">
        <v>0</v>
      </c>
      <c r="W71" s="90"/>
      <c r="X71" s="101"/>
      <c r="Y71" s="487"/>
      <c r="Z71" s="497"/>
      <c r="AA71" s="496">
        <v>0</v>
      </c>
      <c r="AB71" s="90"/>
      <c r="AC71" s="101"/>
      <c r="AD71" s="487"/>
      <c r="AE71" s="497"/>
      <c r="AF71" s="496">
        <v>0</v>
      </c>
      <c r="AG71" s="90"/>
      <c r="AH71" s="101"/>
      <c r="AI71" s="487"/>
      <c r="AJ71" s="497"/>
      <c r="AK71" s="496">
        <v>0</v>
      </c>
      <c r="AL71" s="90"/>
      <c r="AM71" s="101"/>
      <c r="AN71" s="487"/>
      <c r="AO71" s="497"/>
      <c r="AP71" s="496">
        <v>0</v>
      </c>
      <c r="AQ71" s="90"/>
      <c r="AR71" s="101"/>
      <c r="AS71" s="487"/>
      <c r="AT71" s="497"/>
      <c r="AU71" s="496">
        <v>0</v>
      </c>
      <c r="AV71" s="90"/>
      <c r="AW71" s="101"/>
      <c r="AX71" s="487"/>
      <c r="AY71" s="497"/>
      <c r="AZ71" s="496">
        <v>0</v>
      </c>
      <c r="BA71" s="90"/>
      <c r="BB71" s="101"/>
      <c r="BC71" s="487"/>
      <c r="BD71" s="497"/>
      <c r="BE71" s="496">
        <v>0</v>
      </c>
      <c r="BF71" s="90"/>
      <c r="BG71" s="101"/>
      <c r="BH71" s="487"/>
      <c r="BI71" s="497"/>
      <c r="BJ71" s="496">
        <v>0</v>
      </c>
      <c r="BK71" s="90"/>
      <c r="BL71" s="101"/>
      <c r="BM71" s="487"/>
      <c r="BN71" s="497"/>
      <c r="BO71" s="496">
        <v>0</v>
      </c>
      <c r="BP71" s="90"/>
      <c r="BQ71" s="101"/>
      <c r="BR71" s="487"/>
      <c r="BS71" s="497"/>
      <c r="BT71" s="496">
        <f>SUM(L71:BO71)</f>
        <v>0</v>
      </c>
      <c r="BU71" s="90"/>
      <c r="BV71" s="101"/>
      <c r="BW71" s="398"/>
      <c r="BZ71" s="411"/>
      <c r="CA71" s="411"/>
    </row>
    <row r="72" spans="1:79" ht="12.75" hidden="1" customHeight="1" x14ac:dyDescent="0.2">
      <c r="A72" s="388"/>
      <c r="B72" s="388"/>
      <c r="D72" s="398"/>
      <c r="E72" s="487"/>
      <c r="F72" s="388"/>
      <c r="G72" s="101"/>
      <c r="H72" s="101"/>
      <c r="I72" s="101"/>
      <c r="J72" s="487"/>
      <c r="K72" s="101"/>
      <c r="L72" s="101"/>
      <c r="M72" s="101"/>
      <c r="N72" s="101"/>
      <c r="O72" s="487"/>
      <c r="P72" s="101"/>
      <c r="Q72" s="101"/>
      <c r="R72" s="101"/>
      <c r="S72" s="101"/>
      <c r="T72" s="487"/>
      <c r="U72" s="101"/>
      <c r="V72" s="101"/>
      <c r="W72" s="101"/>
      <c r="X72" s="101"/>
      <c r="Y72" s="487"/>
      <c r="Z72" s="101"/>
      <c r="AA72" s="101"/>
      <c r="AB72" s="101"/>
      <c r="AC72" s="101"/>
      <c r="AD72" s="487"/>
      <c r="AE72" s="101"/>
      <c r="AF72" s="101"/>
      <c r="AG72" s="101"/>
      <c r="AH72" s="101"/>
      <c r="AI72" s="487"/>
      <c r="AJ72" s="101"/>
      <c r="AK72" s="101"/>
      <c r="AL72" s="101"/>
      <c r="AM72" s="101"/>
      <c r="AN72" s="487"/>
      <c r="AO72" s="101"/>
      <c r="AP72" s="101"/>
      <c r="AQ72" s="101"/>
      <c r="AR72" s="101"/>
      <c r="AS72" s="487"/>
      <c r="AT72" s="101"/>
      <c r="AU72" s="101"/>
      <c r="AV72" s="101"/>
      <c r="AW72" s="101"/>
      <c r="AX72" s="487"/>
      <c r="AY72" s="101"/>
      <c r="AZ72" s="101"/>
      <c r="BA72" s="101"/>
      <c r="BB72" s="101"/>
      <c r="BC72" s="487"/>
      <c r="BD72" s="101"/>
      <c r="BE72" s="101"/>
      <c r="BF72" s="101"/>
      <c r="BG72" s="101"/>
      <c r="BH72" s="487"/>
      <c r="BI72" s="101"/>
      <c r="BJ72" s="101"/>
      <c r="BK72" s="101"/>
      <c r="BL72" s="101"/>
      <c r="BM72" s="487"/>
      <c r="BN72" s="101"/>
      <c r="BO72" s="101"/>
      <c r="BP72" s="101"/>
      <c r="BQ72" s="101"/>
      <c r="BR72" s="487"/>
      <c r="BS72" s="101"/>
      <c r="BT72" s="101"/>
      <c r="BU72" s="101"/>
      <c r="BV72" s="101"/>
      <c r="BW72" s="398"/>
      <c r="BZ72" s="411"/>
      <c r="CA72" s="411"/>
    </row>
    <row r="73" spans="1:79" ht="12.75" customHeight="1" x14ac:dyDescent="0.2">
      <c r="A73" s="388"/>
      <c r="B73" s="388"/>
      <c r="D73" s="398" t="s">
        <v>386</v>
      </c>
      <c r="E73" s="487"/>
      <c r="F73" s="388"/>
      <c r="G73" s="101">
        <f>SUM(G74:G77)</f>
        <v>0</v>
      </c>
      <c r="H73" s="101"/>
      <c r="I73" s="101"/>
      <c r="J73" s="487"/>
      <c r="K73" s="101"/>
      <c r="L73" s="101">
        <f>SUM(L74:L77)</f>
        <v>0</v>
      </c>
      <c r="M73" s="101"/>
      <c r="N73" s="101"/>
      <c r="O73" s="487"/>
      <c r="P73" s="101"/>
      <c r="Q73" s="101">
        <f>SUM(Q74:Q77)</f>
        <v>0</v>
      </c>
      <c r="R73" s="101"/>
      <c r="S73" s="101"/>
      <c r="T73" s="487"/>
      <c r="U73" s="101"/>
      <c r="V73" s="101">
        <f>SUM(V74:V77)</f>
        <v>297021</v>
      </c>
      <c r="W73" s="101"/>
      <c r="X73" s="101"/>
      <c r="Y73" s="487"/>
      <c r="Z73" s="101"/>
      <c r="AA73" s="101">
        <f>SUM(AA74:AA77)</f>
        <v>854761</v>
      </c>
      <c r="AB73" s="101"/>
      <c r="AC73" s="101"/>
      <c r="AD73" s="487"/>
      <c r="AE73" s="101"/>
      <c r="AF73" s="101">
        <f>SUM(AF74:AF77)</f>
        <v>1016515</v>
      </c>
      <c r="AG73" s="101"/>
      <c r="AH73" s="101"/>
      <c r="AI73" s="487"/>
      <c r="AJ73" s="101"/>
      <c r="AK73" s="101">
        <f>SUM(AK74:AK77)</f>
        <v>816649</v>
      </c>
      <c r="AL73" s="101"/>
      <c r="AM73" s="101"/>
      <c r="AN73" s="487"/>
      <c r="AO73" s="101"/>
      <c r="AP73" s="101">
        <f>SUM(AP74:AP77)</f>
        <v>1476452</v>
      </c>
      <c r="AQ73" s="101"/>
      <c r="AR73" s="101"/>
      <c r="AS73" s="487"/>
      <c r="AT73" s="101"/>
      <c r="AU73" s="101">
        <f>SUM(AU74:AU77)</f>
        <v>1092190</v>
      </c>
      <c r="AV73" s="101"/>
      <c r="AW73" s="101"/>
      <c r="AX73" s="487"/>
      <c r="AY73" s="101"/>
      <c r="AZ73" s="101">
        <f>SUM(AZ74:AZ77)</f>
        <v>727090</v>
      </c>
      <c r="BA73" s="101"/>
      <c r="BB73" s="101"/>
      <c r="BC73" s="487"/>
      <c r="BD73" s="101"/>
      <c r="BE73" s="101">
        <f>SUM(BE74:BE77)</f>
        <v>1067242</v>
      </c>
      <c r="BF73" s="101"/>
      <c r="BG73" s="101"/>
      <c r="BH73" s="487"/>
      <c r="BI73" s="101"/>
      <c r="BJ73" s="101">
        <f>SUM(BJ74:BJ77)</f>
        <v>2280137</v>
      </c>
      <c r="BK73" s="101"/>
      <c r="BL73" s="101"/>
      <c r="BM73" s="487"/>
      <c r="BN73" s="101"/>
      <c r="BO73" s="101">
        <f>SUM(BO74:BO77)</f>
        <v>857343</v>
      </c>
      <c r="BP73" s="101"/>
      <c r="BQ73" s="101"/>
      <c r="BR73" s="487"/>
      <c r="BS73" s="101"/>
      <c r="BT73" s="101">
        <f>SUM(BT74:BT77)</f>
        <v>10485400</v>
      </c>
      <c r="BU73" s="101"/>
      <c r="BV73" s="101"/>
      <c r="BW73" s="398"/>
      <c r="BZ73" s="411"/>
      <c r="CA73" s="411"/>
    </row>
    <row r="74" spans="1:79" ht="12.75" customHeight="1" x14ac:dyDescent="0.2">
      <c r="A74" s="388"/>
      <c r="B74" s="388"/>
      <c r="D74" s="398" t="s">
        <v>373</v>
      </c>
      <c r="E74" s="487"/>
      <c r="F74" s="412"/>
      <c r="G74" s="485">
        <v>0</v>
      </c>
      <c r="H74" s="486"/>
      <c r="I74" s="101"/>
      <c r="J74" s="487"/>
      <c r="K74" s="488"/>
      <c r="L74" s="485">
        <v>0</v>
      </c>
      <c r="M74" s="486"/>
      <c r="N74" s="101"/>
      <c r="O74" s="487"/>
      <c r="P74" s="488"/>
      <c r="Q74" s="485">
        <v>0</v>
      </c>
      <c r="R74" s="486"/>
      <c r="S74" s="101"/>
      <c r="T74" s="487"/>
      <c r="U74" s="488"/>
      <c r="V74" s="485">
        <f>250000-49430</f>
        <v>200570</v>
      </c>
      <c r="W74" s="486"/>
      <c r="X74" s="101"/>
      <c r="Y74" s="487"/>
      <c r="Z74" s="488"/>
      <c r="AA74" s="485">
        <f>720000-156260</f>
        <v>563740</v>
      </c>
      <c r="AB74" s="486"/>
      <c r="AC74" s="101"/>
      <c r="AD74" s="487"/>
      <c r="AE74" s="488"/>
      <c r="AF74" s="485">
        <f>860000-183365</f>
        <v>676635</v>
      </c>
      <c r="AG74" s="486"/>
      <c r="AH74" s="101"/>
      <c r="AI74" s="487"/>
      <c r="AJ74" s="488"/>
      <c r="AK74" s="485">
        <f>690000-131934</f>
        <v>558066</v>
      </c>
      <c r="AL74" s="486"/>
      <c r="AM74" s="101"/>
      <c r="AN74" s="487"/>
      <c r="AO74" s="488"/>
      <c r="AP74" s="485">
        <f>1240000-243270</f>
        <v>996730</v>
      </c>
      <c r="AQ74" s="486"/>
      <c r="AR74" s="101"/>
      <c r="AS74" s="487"/>
      <c r="AT74" s="488"/>
      <c r="AU74" s="485">
        <f>910000-176856</f>
        <v>733144</v>
      </c>
      <c r="AV74" s="486"/>
      <c r="AW74" s="101"/>
      <c r="AX74" s="487"/>
      <c r="AY74" s="488"/>
      <c r="AZ74" s="485">
        <f>605000-112019</f>
        <v>492981</v>
      </c>
      <c r="BA74" s="486"/>
      <c r="BB74" s="101"/>
      <c r="BC74" s="487"/>
      <c r="BD74" s="488"/>
      <c r="BE74" s="485">
        <f>885000-145924</f>
        <v>739076</v>
      </c>
      <c r="BF74" s="486"/>
      <c r="BG74" s="101"/>
      <c r="BH74" s="487"/>
      <c r="BI74" s="488"/>
      <c r="BJ74" s="485">
        <f>1890000-257992</f>
        <v>1632008</v>
      </c>
      <c r="BK74" s="486"/>
      <c r="BL74" s="101"/>
      <c r="BM74" s="487"/>
      <c r="BN74" s="488"/>
      <c r="BO74" s="485">
        <f>710000-99734</f>
        <v>610266</v>
      </c>
      <c r="BP74" s="486"/>
      <c r="BQ74" s="101"/>
      <c r="BR74" s="487"/>
      <c r="BS74" s="488"/>
      <c r="BT74" s="485">
        <f>SUM(L74:BO74)</f>
        <v>7203216</v>
      </c>
      <c r="BU74" s="486"/>
      <c r="BV74" s="101"/>
      <c r="BW74" s="398"/>
      <c r="BZ74" s="411"/>
      <c r="CA74" s="411"/>
    </row>
    <row r="75" spans="1:79" ht="12.75" customHeight="1" x14ac:dyDescent="0.2">
      <c r="A75" s="388"/>
      <c r="B75" s="388"/>
      <c r="D75" s="398" t="s">
        <v>375</v>
      </c>
      <c r="E75" s="487"/>
      <c r="F75" s="404"/>
      <c r="G75" s="101">
        <v>0</v>
      </c>
      <c r="H75" s="49"/>
      <c r="I75" s="101"/>
      <c r="J75" s="487"/>
      <c r="K75" s="487"/>
      <c r="L75" s="101">
        <v>0</v>
      </c>
      <c r="M75" s="49"/>
      <c r="N75" s="101"/>
      <c r="O75" s="487"/>
      <c r="P75" s="487"/>
      <c r="Q75" s="101">
        <v>0</v>
      </c>
      <c r="R75" s="49"/>
      <c r="S75" s="101"/>
      <c r="T75" s="487"/>
      <c r="U75" s="487"/>
      <c r="V75" s="101">
        <v>49430</v>
      </c>
      <c r="W75" s="49"/>
      <c r="X75" s="101"/>
      <c r="Y75" s="487"/>
      <c r="Z75" s="487"/>
      <c r="AA75" s="101">
        <v>156260</v>
      </c>
      <c r="AB75" s="49"/>
      <c r="AC75" s="101"/>
      <c r="AD75" s="487"/>
      <c r="AE75" s="487"/>
      <c r="AF75" s="101">
        <v>183365</v>
      </c>
      <c r="AG75" s="49"/>
      <c r="AH75" s="101"/>
      <c r="AI75" s="487"/>
      <c r="AJ75" s="487"/>
      <c r="AK75" s="101">
        <v>131934</v>
      </c>
      <c r="AL75" s="49"/>
      <c r="AM75" s="101"/>
      <c r="AN75" s="487"/>
      <c r="AO75" s="487"/>
      <c r="AP75" s="101">
        <v>243270</v>
      </c>
      <c r="AQ75" s="49"/>
      <c r="AR75" s="101"/>
      <c r="AS75" s="487"/>
      <c r="AT75" s="487"/>
      <c r="AU75" s="101">
        <v>176856</v>
      </c>
      <c r="AV75" s="49"/>
      <c r="AW75" s="101"/>
      <c r="AX75" s="487"/>
      <c r="AY75" s="487"/>
      <c r="AZ75" s="101">
        <v>112019</v>
      </c>
      <c r="BA75" s="49"/>
      <c r="BB75" s="101"/>
      <c r="BC75" s="487"/>
      <c r="BD75" s="487"/>
      <c r="BE75" s="101">
        <v>145924</v>
      </c>
      <c r="BF75" s="49"/>
      <c r="BG75" s="101"/>
      <c r="BH75" s="487"/>
      <c r="BI75" s="487"/>
      <c r="BJ75" s="101">
        <v>257992</v>
      </c>
      <c r="BK75" s="49"/>
      <c r="BL75" s="101"/>
      <c r="BM75" s="487"/>
      <c r="BN75" s="487"/>
      <c r="BO75" s="101">
        <v>99734</v>
      </c>
      <c r="BP75" s="49"/>
      <c r="BQ75" s="101"/>
      <c r="BR75" s="487"/>
      <c r="BS75" s="487"/>
      <c r="BT75" s="101">
        <f>SUM(L75:BO75)</f>
        <v>1556784</v>
      </c>
      <c r="BU75" s="49"/>
      <c r="BV75" s="101"/>
      <c r="BW75" s="398"/>
      <c r="BZ75" s="411"/>
      <c r="CA75" s="411"/>
    </row>
    <row r="76" spans="1:79" ht="12.75" customHeight="1" x14ac:dyDescent="0.2">
      <c r="A76" s="388"/>
      <c r="B76" s="388"/>
      <c r="D76" s="398" t="s">
        <v>376</v>
      </c>
      <c r="E76" s="487"/>
      <c r="F76" s="404"/>
      <c r="G76" s="101">
        <v>0</v>
      </c>
      <c r="H76" s="49"/>
      <c r="I76" s="101"/>
      <c r="J76" s="487"/>
      <c r="K76" s="487"/>
      <c r="L76" s="101">
        <v>0</v>
      </c>
      <c r="M76" s="49"/>
      <c r="N76" s="101"/>
      <c r="O76" s="487"/>
      <c r="P76" s="487"/>
      <c r="Q76" s="101">
        <v>0</v>
      </c>
      <c r="R76" s="49"/>
      <c r="S76" s="101"/>
      <c r="T76" s="487"/>
      <c r="U76" s="487"/>
      <c r="V76" s="101">
        <v>0</v>
      </c>
      <c r="W76" s="49"/>
      <c r="X76" s="101"/>
      <c r="Y76" s="487"/>
      <c r="Z76" s="487"/>
      <c r="AA76" s="101">
        <v>0</v>
      </c>
      <c r="AB76" s="49"/>
      <c r="AC76" s="101"/>
      <c r="AD76" s="487"/>
      <c r="AE76" s="487"/>
      <c r="AF76" s="101">
        <v>0</v>
      </c>
      <c r="AG76" s="49"/>
      <c r="AH76" s="101"/>
      <c r="AI76" s="487"/>
      <c r="AJ76" s="487"/>
      <c r="AK76" s="101">
        <v>0</v>
      </c>
      <c r="AL76" s="49"/>
      <c r="AM76" s="101"/>
      <c r="AN76" s="487"/>
      <c r="AO76" s="487"/>
      <c r="AP76" s="101">
        <v>0</v>
      </c>
      <c r="AQ76" s="49"/>
      <c r="AR76" s="101"/>
      <c r="AS76" s="487"/>
      <c r="AT76" s="487"/>
      <c r="AU76" s="101">
        <v>0</v>
      </c>
      <c r="AV76" s="49"/>
      <c r="AW76" s="101"/>
      <c r="AX76" s="487"/>
      <c r="AY76" s="487"/>
      <c r="AZ76" s="101">
        <v>0</v>
      </c>
      <c r="BA76" s="49"/>
      <c r="BB76" s="101"/>
      <c r="BC76" s="487"/>
      <c r="BD76" s="487"/>
      <c r="BE76" s="101">
        <v>0</v>
      </c>
      <c r="BF76" s="49"/>
      <c r="BG76" s="101"/>
      <c r="BH76" s="487"/>
      <c r="BI76" s="487"/>
      <c r="BJ76" s="101">
        <v>0</v>
      </c>
      <c r="BK76" s="49"/>
      <c r="BL76" s="101"/>
      <c r="BM76" s="487"/>
      <c r="BN76" s="487"/>
      <c r="BO76" s="101">
        <v>0</v>
      </c>
      <c r="BP76" s="49"/>
      <c r="BQ76" s="101"/>
      <c r="BR76" s="487"/>
      <c r="BS76" s="487"/>
      <c r="BT76" s="101">
        <f>SUM(L76:BO76)</f>
        <v>0</v>
      </c>
      <c r="BU76" s="49"/>
      <c r="BV76" s="101"/>
      <c r="BW76" s="398"/>
      <c r="BZ76" s="411"/>
      <c r="CA76" s="411"/>
    </row>
    <row r="77" spans="1:79" ht="12.75" customHeight="1" x14ac:dyDescent="0.2">
      <c r="A77" s="388"/>
      <c r="B77" s="388"/>
      <c r="D77" s="398" t="s">
        <v>377</v>
      </c>
      <c r="E77" s="487"/>
      <c r="F77" s="427"/>
      <c r="G77" s="496">
        <v>0</v>
      </c>
      <c r="H77" s="90"/>
      <c r="I77" s="101"/>
      <c r="J77" s="487"/>
      <c r="K77" s="497"/>
      <c r="L77" s="496">
        <v>0</v>
      </c>
      <c r="M77" s="90"/>
      <c r="N77" s="101"/>
      <c r="O77" s="487"/>
      <c r="P77" s="497"/>
      <c r="Q77" s="496">
        <v>0</v>
      </c>
      <c r="R77" s="90"/>
      <c r="S77" s="101"/>
      <c r="T77" s="487"/>
      <c r="U77" s="497"/>
      <c r="V77" s="496">
        <v>47021</v>
      </c>
      <c r="W77" s="90"/>
      <c r="X77" s="101"/>
      <c r="Y77" s="487"/>
      <c r="Z77" s="497"/>
      <c r="AA77" s="496">
        <v>134761</v>
      </c>
      <c r="AB77" s="90"/>
      <c r="AC77" s="101"/>
      <c r="AD77" s="487"/>
      <c r="AE77" s="497"/>
      <c r="AF77" s="496">
        <v>156515</v>
      </c>
      <c r="AG77" s="90"/>
      <c r="AH77" s="101"/>
      <c r="AI77" s="487"/>
      <c r="AJ77" s="497"/>
      <c r="AK77" s="496">
        <v>126649</v>
      </c>
      <c r="AL77" s="90"/>
      <c r="AM77" s="101"/>
      <c r="AN77" s="487"/>
      <c r="AO77" s="497"/>
      <c r="AP77" s="496">
        <v>236452</v>
      </c>
      <c r="AQ77" s="90"/>
      <c r="AR77" s="101"/>
      <c r="AS77" s="487"/>
      <c r="AT77" s="497"/>
      <c r="AU77" s="496">
        <v>182190</v>
      </c>
      <c r="AV77" s="90"/>
      <c r="AW77" s="101"/>
      <c r="AX77" s="487"/>
      <c r="AY77" s="497"/>
      <c r="AZ77" s="496">
        <v>122090</v>
      </c>
      <c r="BA77" s="90"/>
      <c r="BB77" s="101"/>
      <c r="BC77" s="487"/>
      <c r="BD77" s="497"/>
      <c r="BE77" s="496">
        <v>182242</v>
      </c>
      <c r="BF77" s="90"/>
      <c r="BG77" s="101"/>
      <c r="BH77" s="487"/>
      <c r="BI77" s="497"/>
      <c r="BJ77" s="496">
        <v>390137</v>
      </c>
      <c r="BK77" s="90"/>
      <c r="BL77" s="101"/>
      <c r="BM77" s="487"/>
      <c r="BN77" s="497"/>
      <c r="BO77" s="496">
        <v>147343</v>
      </c>
      <c r="BP77" s="90"/>
      <c r="BQ77" s="101"/>
      <c r="BR77" s="487"/>
      <c r="BS77" s="497"/>
      <c r="BT77" s="496">
        <f>SUM(L77:BO77)</f>
        <v>1725400</v>
      </c>
      <c r="BU77" s="90"/>
      <c r="BV77" s="101"/>
      <c r="BW77" s="398"/>
      <c r="BZ77" s="411"/>
      <c r="CA77" s="411"/>
    </row>
    <row r="78" spans="1:79" ht="12.75" customHeight="1" x14ac:dyDescent="0.2">
      <c r="A78" s="388"/>
      <c r="B78" s="388"/>
      <c r="D78" s="398"/>
      <c r="E78" s="487"/>
      <c r="F78" s="388"/>
      <c r="G78" s="101"/>
      <c r="H78" s="101"/>
      <c r="I78" s="101"/>
      <c r="J78" s="487"/>
      <c r="K78" s="101"/>
      <c r="L78" s="101"/>
      <c r="M78" s="101"/>
      <c r="N78" s="101"/>
      <c r="O78" s="487"/>
      <c r="P78" s="101"/>
      <c r="Q78" s="101"/>
      <c r="R78" s="101"/>
      <c r="S78" s="101"/>
      <c r="T78" s="487"/>
      <c r="U78" s="101"/>
      <c r="V78" s="101"/>
      <c r="W78" s="101"/>
      <c r="X78" s="101"/>
      <c r="Y78" s="487"/>
      <c r="Z78" s="101"/>
      <c r="AA78" s="101"/>
      <c r="AB78" s="101"/>
      <c r="AC78" s="101"/>
      <c r="AD78" s="487"/>
      <c r="AE78" s="101"/>
      <c r="AF78" s="101"/>
      <c r="AG78" s="101"/>
      <c r="AH78" s="101"/>
      <c r="AI78" s="487"/>
      <c r="AJ78" s="101"/>
      <c r="AK78" s="101"/>
      <c r="AL78" s="101"/>
      <c r="AM78" s="101"/>
      <c r="AN78" s="487"/>
      <c r="AO78" s="101"/>
      <c r="AP78" s="101"/>
      <c r="AQ78" s="101"/>
      <c r="AR78" s="101"/>
      <c r="AS78" s="487"/>
      <c r="AT78" s="101"/>
      <c r="AU78" s="101"/>
      <c r="AV78" s="101"/>
      <c r="AW78" s="101"/>
      <c r="AX78" s="487"/>
      <c r="AY78" s="101"/>
      <c r="AZ78" s="101"/>
      <c r="BA78" s="101"/>
      <c r="BB78" s="101"/>
      <c r="BC78" s="487"/>
      <c r="BD78" s="101"/>
      <c r="BE78" s="101"/>
      <c r="BF78" s="101"/>
      <c r="BG78" s="101"/>
      <c r="BH78" s="487"/>
      <c r="BI78" s="101"/>
      <c r="BJ78" s="101"/>
      <c r="BK78" s="101"/>
      <c r="BL78" s="101"/>
      <c r="BM78" s="487"/>
      <c r="BN78" s="101"/>
      <c r="BO78" s="101"/>
      <c r="BP78" s="101"/>
      <c r="BQ78" s="101"/>
      <c r="BR78" s="487"/>
      <c r="BS78" s="101"/>
      <c r="BT78" s="101"/>
      <c r="BU78" s="101"/>
      <c r="BV78" s="101"/>
      <c r="BW78" s="398"/>
      <c r="BZ78" s="411"/>
      <c r="CA78" s="411"/>
    </row>
    <row r="79" spans="1:79" ht="12.75" customHeight="1" x14ac:dyDescent="0.2">
      <c r="A79" s="388"/>
      <c r="B79" s="388"/>
      <c r="D79" s="398" t="s">
        <v>387</v>
      </c>
      <c r="E79" s="487"/>
      <c r="F79" s="388"/>
      <c r="G79" s="101">
        <f>SUM(G80:G82)</f>
        <v>0</v>
      </c>
      <c r="H79" s="101"/>
      <c r="I79" s="101"/>
      <c r="J79" s="487"/>
      <c r="K79" s="101"/>
      <c r="L79" s="101">
        <f>SUM(L80:L82)</f>
        <v>0</v>
      </c>
      <c r="M79" s="101"/>
      <c r="N79" s="101"/>
      <c r="O79" s="487"/>
      <c r="P79" s="101"/>
      <c r="Q79" s="101">
        <f>SUM(Q80:Q82)</f>
        <v>0</v>
      </c>
      <c r="R79" s="101"/>
      <c r="S79" s="101"/>
      <c r="T79" s="487"/>
      <c r="U79" s="101"/>
      <c r="V79" s="101">
        <f>SUM(V80:V82)</f>
        <v>0</v>
      </c>
      <c r="W79" s="101"/>
      <c r="X79" s="101"/>
      <c r="Y79" s="487"/>
      <c r="Z79" s="101"/>
      <c r="AA79" s="101">
        <f>SUM(AA80:AA82)</f>
        <v>0</v>
      </c>
      <c r="AB79" s="101"/>
      <c r="AC79" s="101"/>
      <c r="AD79" s="487"/>
      <c r="AE79" s="101"/>
      <c r="AF79" s="101">
        <f>SUM(AF80:AF82)</f>
        <v>0</v>
      </c>
      <c r="AG79" s="101"/>
      <c r="AH79" s="101"/>
      <c r="AI79" s="487"/>
      <c r="AJ79" s="101"/>
      <c r="AK79" s="101">
        <f>SUM(AK80:AK82)</f>
        <v>0</v>
      </c>
      <c r="AL79" s="101"/>
      <c r="AM79" s="101"/>
      <c r="AN79" s="487"/>
      <c r="AO79" s="101"/>
      <c r="AP79" s="101">
        <f>SUM(AP80:AP82)</f>
        <v>0</v>
      </c>
      <c r="AQ79" s="101"/>
      <c r="AR79" s="101"/>
      <c r="AS79" s="487"/>
      <c r="AT79" s="101"/>
      <c r="AU79" s="101">
        <f>SUM(AU80:AU82)</f>
        <v>0</v>
      </c>
      <c r="AV79" s="101"/>
      <c r="AW79" s="101"/>
      <c r="AX79" s="487"/>
      <c r="AY79" s="101"/>
      <c r="AZ79" s="101">
        <f>SUM(AZ80:AZ82)</f>
        <v>0</v>
      </c>
      <c r="BA79" s="101"/>
      <c r="BB79" s="101"/>
      <c r="BC79" s="487"/>
      <c r="BD79" s="101"/>
      <c r="BE79" s="101">
        <f>SUM(BE80:BE82)</f>
        <v>0</v>
      </c>
      <c r="BF79" s="101"/>
      <c r="BG79" s="101"/>
      <c r="BH79" s="487"/>
      <c r="BI79" s="101"/>
      <c r="BJ79" s="101">
        <f>SUM(BJ80:BJ82)</f>
        <v>0</v>
      </c>
      <c r="BK79" s="101"/>
      <c r="BL79" s="101"/>
      <c r="BM79" s="487"/>
      <c r="BN79" s="101"/>
      <c r="BO79" s="101">
        <f>SUM(BO80:BO82)</f>
        <v>0</v>
      </c>
      <c r="BP79" s="101"/>
      <c r="BQ79" s="101"/>
      <c r="BR79" s="487"/>
      <c r="BS79" s="101"/>
      <c r="BT79" s="101">
        <f>SUM(BT80:BT82)</f>
        <v>0</v>
      </c>
      <c r="BU79" s="101"/>
      <c r="BV79" s="101"/>
      <c r="BW79" s="398"/>
      <c r="BZ79" s="411"/>
      <c r="CA79" s="411"/>
    </row>
    <row r="80" spans="1:79" ht="12.75" customHeight="1" x14ac:dyDescent="0.2">
      <c r="A80" s="388"/>
      <c r="B80" s="388"/>
      <c r="D80" s="398" t="s">
        <v>373</v>
      </c>
      <c r="E80" s="487"/>
      <c r="F80" s="412"/>
      <c r="G80" s="485">
        <v>0</v>
      </c>
      <c r="H80" s="486"/>
      <c r="I80" s="101"/>
      <c r="J80" s="487"/>
      <c r="K80" s="488"/>
      <c r="L80" s="485">
        <v>0</v>
      </c>
      <c r="M80" s="486"/>
      <c r="N80" s="101"/>
      <c r="O80" s="487"/>
      <c r="P80" s="488"/>
      <c r="Q80" s="485">
        <v>0</v>
      </c>
      <c r="R80" s="486"/>
      <c r="S80" s="101"/>
      <c r="T80" s="487"/>
      <c r="U80" s="488"/>
      <c r="V80" s="485">
        <v>0</v>
      </c>
      <c r="W80" s="486"/>
      <c r="X80" s="101"/>
      <c r="Y80" s="487"/>
      <c r="Z80" s="488"/>
      <c r="AA80" s="485">
        <v>0</v>
      </c>
      <c r="AB80" s="486"/>
      <c r="AC80" s="101"/>
      <c r="AD80" s="487"/>
      <c r="AE80" s="488"/>
      <c r="AF80" s="485">
        <v>0</v>
      </c>
      <c r="AG80" s="486"/>
      <c r="AH80" s="101"/>
      <c r="AI80" s="487"/>
      <c r="AJ80" s="488"/>
      <c r="AK80" s="485">
        <v>0</v>
      </c>
      <c r="AL80" s="486"/>
      <c r="AM80" s="101"/>
      <c r="AN80" s="487"/>
      <c r="AO80" s="488"/>
      <c r="AP80" s="485">
        <v>0</v>
      </c>
      <c r="AQ80" s="486"/>
      <c r="AR80" s="101"/>
      <c r="AS80" s="487"/>
      <c r="AT80" s="488"/>
      <c r="AU80" s="485">
        <v>0</v>
      </c>
      <c r="AV80" s="486"/>
      <c r="AW80" s="101"/>
      <c r="AX80" s="487"/>
      <c r="AY80" s="488"/>
      <c r="AZ80" s="485">
        <v>0</v>
      </c>
      <c r="BA80" s="486"/>
      <c r="BB80" s="101"/>
      <c r="BC80" s="487"/>
      <c r="BD80" s="488"/>
      <c r="BE80" s="485">
        <v>0</v>
      </c>
      <c r="BF80" s="486"/>
      <c r="BG80" s="101"/>
      <c r="BH80" s="487"/>
      <c r="BI80" s="488"/>
      <c r="BJ80" s="485">
        <v>0</v>
      </c>
      <c r="BK80" s="486"/>
      <c r="BL80" s="101"/>
      <c r="BM80" s="487"/>
      <c r="BN80" s="488"/>
      <c r="BO80" s="485">
        <v>0</v>
      </c>
      <c r="BP80" s="486"/>
      <c r="BQ80" s="101"/>
      <c r="BR80" s="487"/>
      <c r="BS80" s="488"/>
      <c r="BT80" s="485">
        <f>SUM(L80:BO80)</f>
        <v>0</v>
      </c>
      <c r="BU80" s="486"/>
      <c r="BV80" s="101"/>
      <c r="BW80" s="398"/>
      <c r="BZ80" s="411"/>
      <c r="CA80" s="411"/>
    </row>
    <row r="81" spans="1:79" ht="12.75" customHeight="1" x14ac:dyDescent="0.2">
      <c r="A81" s="388"/>
      <c r="B81" s="388"/>
      <c r="D81" s="398" t="s">
        <v>375</v>
      </c>
      <c r="E81" s="487"/>
      <c r="F81" s="404"/>
      <c r="G81" s="101">
        <v>0</v>
      </c>
      <c r="H81" s="49"/>
      <c r="I81" s="101"/>
      <c r="J81" s="487"/>
      <c r="K81" s="487"/>
      <c r="L81" s="101">
        <v>0</v>
      </c>
      <c r="M81" s="49"/>
      <c r="N81" s="101"/>
      <c r="O81" s="487"/>
      <c r="P81" s="487"/>
      <c r="Q81" s="101">
        <v>0</v>
      </c>
      <c r="R81" s="49"/>
      <c r="S81" s="101"/>
      <c r="T81" s="487"/>
      <c r="U81" s="487"/>
      <c r="V81" s="101">
        <v>0</v>
      </c>
      <c r="W81" s="49"/>
      <c r="X81" s="101"/>
      <c r="Y81" s="487"/>
      <c r="Z81" s="487"/>
      <c r="AA81" s="101">
        <v>0</v>
      </c>
      <c r="AB81" s="49"/>
      <c r="AC81" s="101"/>
      <c r="AD81" s="487"/>
      <c r="AE81" s="487"/>
      <c r="AF81" s="101">
        <v>0</v>
      </c>
      <c r="AG81" s="49"/>
      <c r="AH81" s="101"/>
      <c r="AI81" s="487"/>
      <c r="AJ81" s="487"/>
      <c r="AK81" s="101">
        <v>0</v>
      </c>
      <c r="AL81" s="49"/>
      <c r="AM81" s="101"/>
      <c r="AN81" s="487"/>
      <c r="AO81" s="487"/>
      <c r="AP81" s="101">
        <v>0</v>
      </c>
      <c r="AQ81" s="49"/>
      <c r="AR81" s="101"/>
      <c r="AS81" s="487"/>
      <c r="AT81" s="487"/>
      <c r="AU81" s="101">
        <v>0</v>
      </c>
      <c r="AV81" s="49"/>
      <c r="AW81" s="101"/>
      <c r="AX81" s="487"/>
      <c r="AY81" s="487"/>
      <c r="AZ81" s="101">
        <v>0</v>
      </c>
      <c r="BA81" s="49"/>
      <c r="BB81" s="101"/>
      <c r="BC81" s="487"/>
      <c r="BD81" s="487"/>
      <c r="BE81" s="101">
        <v>0</v>
      </c>
      <c r="BF81" s="49"/>
      <c r="BG81" s="101"/>
      <c r="BH81" s="487"/>
      <c r="BI81" s="487"/>
      <c r="BJ81" s="101">
        <v>0</v>
      </c>
      <c r="BK81" s="49"/>
      <c r="BL81" s="101"/>
      <c r="BM81" s="487"/>
      <c r="BN81" s="487"/>
      <c r="BO81" s="101">
        <v>0</v>
      </c>
      <c r="BP81" s="49"/>
      <c r="BQ81" s="101"/>
      <c r="BR81" s="487"/>
      <c r="BS81" s="487"/>
      <c r="BT81" s="101">
        <f>SUM(L81:BO81)</f>
        <v>0</v>
      </c>
      <c r="BU81" s="49"/>
      <c r="BV81" s="101"/>
      <c r="BW81" s="398"/>
      <c r="BZ81" s="411"/>
      <c r="CA81" s="411"/>
    </row>
    <row r="82" spans="1:79" ht="12.75" customHeight="1" x14ac:dyDescent="0.2">
      <c r="A82" s="388"/>
      <c r="B82" s="388"/>
      <c r="D82" s="398" t="s">
        <v>383</v>
      </c>
      <c r="E82" s="487"/>
      <c r="F82" s="427"/>
      <c r="G82" s="496">
        <v>0</v>
      </c>
      <c r="H82" s="90"/>
      <c r="I82" s="101"/>
      <c r="J82" s="487"/>
      <c r="K82" s="497"/>
      <c r="L82" s="496">
        <v>0</v>
      </c>
      <c r="M82" s="90"/>
      <c r="N82" s="101"/>
      <c r="O82" s="487"/>
      <c r="P82" s="497"/>
      <c r="Q82" s="496">
        <v>0</v>
      </c>
      <c r="R82" s="90"/>
      <c r="S82" s="101"/>
      <c r="T82" s="487"/>
      <c r="U82" s="497"/>
      <c r="V82" s="496">
        <v>0</v>
      </c>
      <c r="W82" s="90"/>
      <c r="X82" s="101"/>
      <c r="Y82" s="487"/>
      <c r="Z82" s="497"/>
      <c r="AA82" s="496">
        <v>0</v>
      </c>
      <c r="AB82" s="90"/>
      <c r="AC82" s="101"/>
      <c r="AD82" s="487"/>
      <c r="AE82" s="497"/>
      <c r="AF82" s="496">
        <v>0</v>
      </c>
      <c r="AG82" s="90"/>
      <c r="AH82" s="101"/>
      <c r="AI82" s="487"/>
      <c r="AJ82" s="497"/>
      <c r="AK82" s="496">
        <v>0</v>
      </c>
      <c r="AL82" s="90"/>
      <c r="AM82" s="101"/>
      <c r="AN82" s="487"/>
      <c r="AO82" s="497"/>
      <c r="AP82" s="496">
        <v>0</v>
      </c>
      <c r="AQ82" s="90"/>
      <c r="AR82" s="101"/>
      <c r="AS82" s="487"/>
      <c r="AT82" s="497"/>
      <c r="AU82" s="496">
        <v>0</v>
      </c>
      <c r="AV82" s="90"/>
      <c r="AW82" s="101"/>
      <c r="AX82" s="487"/>
      <c r="AY82" s="497"/>
      <c r="AZ82" s="496">
        <v>0</v>
      </c>
      <c r="BA82" s="90"/>
      <c r="BB82" s="101"/>
      <c r="BC82" s="487"/>
      <c r="BD82" s="497"/>
      <c r="BE82" s="496">
        <v>0</v>
      </c>
      <c r="BF82" s="90"/>
      <c r="BG82" s="101"/>
      <c r="BH82" s="487"/>
      <c r="BI82" s="497"/>
      <c r="BJ82" s="496">
        <v>0</v>
      </c>
      <c r="BK82" s="90"/>
      <c r="BL82" s="101"/>
      <c r="BM82" s="487"/>
      <c r="BN82" s="497"/>
      <c r="BO82" s="496">
        <v>0</v>
      </c>
      <c r="BP82" s="90"/>
      <c r="BQ82" s="101"/>
      <c r="BR82" s="487"/>
      <c r="BS82" s="497"/>
      <c r="BT82" s="496">
        <f>SUM(L82:BO82)</f>
        <v>0</v>
      </c>
      <c r="BU82" s="90"/>
      <c r="BV82" s="101"/>
      <c r="BW82" s="398"/>
      <c r="BZ82" s="411"/>
      <c r="CA82" s="411"/>
    </row>
    <row r="83" spans="1:79" s="388" customFormat="1" ht="12.75" customHeight="1" x14ac:dyDescent="0.2">
      <c r="D83" s="498"/>
      <c r="E83" s="433"/>
      <c r="F83" s="434"/>
      <c r="G83" s="432"/>
      <c r="H83" s="432"/>
      <c r="I83" s="432"/>
      <c r="J83" s="431"/>
      <c r="K83" s="432"/>
      <c r="L83" s="432"/>
      <c r="M83" s="432"/>
      <c r="N83" s="432"/>
      <c r="O83" s="431"/>
      <c r="P83" s="432"/>
      <c r="Q83" s="432"/>
      <c r="R83" s="432"/>
      <c r="S83" s="432"/>
      <c r="T83" s="431"/>
      <c r="U83" s="432"/>
      <c r="V83" s="432"/>
      <c r="W83" s="432"/>
      <c r="X83" s="432"/>
      <c r="Y83" s="431"/>
      <c r="Z83" s="432"/>
      <c r="AA83" s="432"/>
      <c r="AB83" s="432"/>
      <c r="AC83" s="432"/>
      <c r="AD83" s="431"/>
      <c r="AE83" s="432"/>
      <c r="AF83" s="432"/>
      <c r="AG83" s="432"/>
      <c r="AH83" s="432"/>
      <c r="AI83" s="431"/>
      <c r="AJ83" s="432"/>
      <c r="AK83" s="432"/>
      <c r="AL83" s="432"/>
      <c r="AM83" s="432"/>
      <c r="AN83" s="431"/>
      <c r="AO83" s="432"/>
      <c r="AP83" s="432"/>
      <c r="AQ83" s="432"/>
      <c r="AR83" s="432"/>
      <c r="AS83" s="431"/>
      <c r="AT83" s="432"/>
      <c r="AU83" s="432"/>
      <c r="AV83" s="432"/>
      <c r="AW83" s="432"/>
      <c r="AX83" s="431"/>
      <c r="AY83" s="432"/>
      <c r="AZ83" s="432"/>
      <c r="BA83" s="432"/>
      <c r="BB83" s="432"/>
      <c r="BC83" s="431"/>
      <c r="BD83" s="432"/>
      <c r="BE83" s="432"/>
      <c r="BF83" s="432"/>
      <c r="BG83" s="432"/>
      <c r="BH83" s="431"/>
      <c r="BI83" s="432"/>
      <c r="BJ83" s="432"/>
      <c r="BK83" s="432"/>
      <c r="BL83" s="432"/>
      <c r="BM83" s="431"/>
      <c r="BN83" s="432"/>
      <c r="BO83" s="432"/>
      <c r="BP83" s="432"/>
      <c r="BQ83" s="432"/>
      <c r="BR83" s="431"/>
      <c r="BS83" s="432"/>
      <c r="BT83" s="432"/>
      <c r="BU83" s="432"/>
      <c r="BV83" s="432"/>
      <c r="BW83" s="398"/>
      <c r="BY83" s="38"/>
      <c r="BZ83" s="411"/>
      <c r="CA83" s="411"/>
    </row>
    <row r="84" spans="1:79" ht="12.75" hidden="1" customHeight="1" x14ac:dyDescent="0.2">
      <c r="A84" s="388"/>
      <c r="B84" s="388"/>
      <c r="D84" s="398" t="s">
        <v>388</v>
      </c>
      <c r="E84" s="487"/>
      <c r="F84" s="388"/>
      <c r="G84" s="101">
        <f>SUM(G85:G88)</f>
        <v>0</v>
      </c>
      <c r="H84" s="101"/>
      <c r="I84" s="101"/>
      <c r="J84" s="487"/>
      <c r="K84" s="101"/>
      <c r="L84" s="101">
        <f>SUM(L85:L88)</f>
        <v>0</v>
      </c>
      <c r="M84" s="101"/>
      <c r="N84" s="101"/>
      <c r="O84" s="487"/>
      <c r="P84" s="101"/>
      <c r="Q84" s="101">
        <f>SUM(Q85:Q88)</f>
        <v>0</v>
      </c>
      <c r="R84" s="101"/>
      <c r="S84" s="101"/>
      <c r="T84" s="487"/>
      <c r="U84" s="101"/>
      <c r="V84" s="101">
        <f>SUM(V85:V88)</f>
        <v>0</v>
      </c>
      <c r="W84" s="101"/>
      <c r="X84" s="101"/>
      <c r="Y84" s="487"/>
      <c r="Z84" s="101"/>
      <c r="AA84" s="101">
        <f>SUM(AA85:AA88)</f>
        <v>0</v>
      </c>
      <c r="AB84" s="101"/>
      <c r="AC84" s="101"/>
      <c r="AD84" s="487"/>
      <c r="AE84" s="101"/>
      <c r="AF84" s="101">
        <f>SUM(AF85:AF88)</f>
        <v>0</v>
      </c>
      <c r="AG84" s="101"/>
      <c r="AH84" s="101"/>
      <c r="AI84" s="487"/>
      <c r="AJ84" s="101"/>
      <c r="AK84" s="101">
        <f>SUM(AK85:AK88)</f>
        <v>0</v>
      </c>
      <c r="AL84" s="101"/>
      <c r="AM84" s="101"/>
      <c r="AN84" s="487"/>
      <c r="AO84" s="101"/>
      <c r="AP84" s="101">
        <f>SUM(AP85:AP88)</f>
        <v>0</v>
      </c>
      <c r="AQ84" s="101"/>
      <c r="AR84" s="101"/>
      <c r="AS84" s="487"/>
      <c r="AT84" s="101"/>
      <c r="AU84" s="101">
        <f>SUM(AU85:AU88)</f>
        <v>0</v>
      </c>
      <c r="AV84" s="101"/>
      <c r="AW84" s="101"/>
      <c r="AX84" s="487"/>
      <c r="AY84" s="101"/>
      <c r="AZ84" s="101">
        <f>SUM(AZ85:AZ88)</f>
        <v>0</v>
      </c>
      <c r="BA84" s="101"/>
      <c r="BB84" s="101"/>
      <c r="BC84" s="487"/>
      <c r="BD84" s="101"/>
      <c r="BE84" s="101">
        <f>SUM(BE85:BE88)</f>
        <v>0</v>
      </c>
      <c r="BF84" s="101"/>
      <c r="BG84" s="101"/>
      <c r="BH84" s="487"/>
      <c r="BI84" s="101"/>
      <c r="BJ84" s="101">
        <f>SUM(BJ85:BJ88)</f>
        <v>0</v>
      </c>
      <c r="BK84" s="101"/>
      <c r="BL84" s="101"/>
      <c r="BM84" s="487"/>
      <c r="BN84" s="101"/>
      <c r="BO84" s="101">
        <f>SUM(BO85:BO88)</f>
        <v>0</v>
      </c>
      <c r="BP84" s="101"/>
      <c r="BQ84" s="101"/>
      <c r="BR84" s="487"/>
      <c r="BS84" s="101"/>
      <c r="BT84" s="101">
        <f>SUM(BT85:BT88)</f>
        <v>0</v>
      </c>
      <c r="BU84" s="101"/>
      <c r="BV84" s="101"/>
      <c r="BW84" s="398"/>
      <c r="BZ84" s="411"/>
      <c r="CA84" s="411"/>
    </row>
    <row r="85" spans="1:79" ht="12.75" hidden="1" customHeight="1" x14ac:dyDescent="0.2">
      <c r="A85" s="388"/>
      <c r="B85" s="388"/>
      <c r="D85" s="495" t="s">
        <v>373</v>
      </c>
      <c r="E85" s="487"/>
      <c r="F85" s="412"/>
      <c r="G85" s="485">
        <v>0</v>
      </c>
      <c r="H85" s="486"/>
      <c r="I85" s="101"/>
      <c r="J85" s="487"/>
      <c r="K85" s="488"/>
      <c r="L85" s="485">
        <v>0</v>
      </c>
      <c r="M85" s="486"/>
      <c r="N85" s="101"/>
      <c r="O85" s="487"/>
      <c r="P85" s="488"/>
      <c r="Q85" s="485">
        <v>0</v>
      </c>
      <c r="R85" s="486"/>
      <c r="S85" s="101"/>
      <c r="T85" s="487"/>
      <c r="U85" s="488"/>
      <c r="V85" s="485">
        <v>0</v>
      </c>
      <c r="W85" s="486"/>
      <c r="X85" s="101"/>
      <c r="Y85" s="487"/>
      <c r="Z85" s="488"/>
      <c r="AA85" s="485">
        <v>0</v>
      </c>
      <c r="AB85" s="486"/>
      <c r="AC85" s="101"/>
      <c r="AD85" s="487"/>
      <c r="AE85" s="488"/>
      <c r="AF85" s="485">
        <v>0</v>
      </c>
      <c r="AG85" s="486"/>
      <c r="AH85" s="101"/>
      <c r="AI85" s="487"/>
      <c r="AJ85" s="488"/>
      <c r="AK85" s="485">
        <v>0</v>
      </c>
      <c r="AL85" s="486"/>
      <c r="AM85" s="101"/>
      <c r="AN85" s="487"/>
      <c r="AO85" s="488"/>
      <c r="AP85" s="485">
        <v>0</v>
      </c>
      <c r="AQ85" s="486"/>
      <c r="AR85" s="101"/>
      <c r="AS85" s="487"/>
      <c r="AT85" s="488"/>
      <c r="AU85" s="485">
        <v>0</v>
      </c>
      <c r="AV85" s="486"/>
      <c r="AW85" s="101"/>
      <c r="AX85" s="487"/>
      <c r="AY85" s="488"/>
      <c r="AZ85" s="485">
        <v>0</v>
      </c>
      <c r="BA85" s="486"/>
      <c r="BB85" s="101"/>
      <c r="BC85" s="487"/>
      <c r="BD85" s="488"/>
      <c r="BE85" s="485">
        <v>0</v>
      </c>
      <c r="BF85" s="486"/>
      <c r="BG85" s="101"/>
      <c r="BH85" s="487"/>
      <c r="BI85" s="488"/>
      <c r="BJ85" s="485">
        <v>0</v>
      </c>
      <c r="BK85" s="486"/>
      <c r="BL85" s="101"/>
      <c r="BM85" s="487"/>
      <c r="BN85" s="488"/>
      <c r="BO85" s="485">
        <v>0</v>
      </c>
      <c r="BP85" s="486"/>
      <c r="BQ85" s="101"/>
      <c r="BR85" s="487"/>
      <c r="BS85" s="488"/>
      <c r="BT85" s="485">
        <f>SUM(L85:BO85)</f>
        <v>0</v>
      </c>
      <c r="BU85" s="486"/>
      <c r="BV85" s="101"/>
      <c r="BW85" s="398"/>
      <c r="BZ85" s="411"/>
      <c r="CA85" s="411"/>
    </row>
    <row r="86" spans="1:79" ht="12.75" hidden="1" customHeight="1" x14ac:dyDescent="0.2">
      <c r="A86" s="388"/>
      <c r="B86" s="388"/>
      <c r="D86" s="495" t="s">
        <v>375</v>
      </c>
      <c r="E86" s="487"/>
      <c r="F86" s="404"/>
      <c r="G86" s="101">
        <v>0</v>
      </c>
      <c r="H86" s="49"/>
      <c r="I86" s="101"/>
      <c r="J86" s="487"/>
      <c r="K86" s="487"/>
      <c r="L86" s="101">
        <v>0</v>
      </c>
      <c r="M86" s="49"/>
      <c r="N86" s="101"/>
      <c r="O86" s="487"/>
      <c r="P86" s="487"/>
      <c r="Q86" s="101">
        <v>0</v>
      </c>
      <c r="R86" s="49"/>
      <c r="S86" s="101"/>
      <c r="T86" s="487"/>
      <c r="U86" s="487"/>
      <c r="V86" s="101">
        <v>0</v>
      </c>
      <c r="W86" s="49"/>
      <c r="X86" s="101"/>
      <c r="Y86" s="487"/>
      <c r="Z86" s="487"/>
      <c r="AA86" s="101">
        <v>0</v>
      </c>
      <c r="AB86" s="49"/>
      <c r="AC86" s="101"/>
      <c r="AD86" s="487"/>
      <c r="AE86" s="487"/>
      <c r="AF86" s="101">
        <v>0</v>
      </c>
      <c r="AG86" s="49"/>
      <c r="AH86" s="101"/>
      <c r="AI86" s="487"/>
      <c r="AJ86" s="487"/>
      <c r="AK86" s="101">
        <v>0</v>
      </c>
      <c r="AL86" s="49"/>
      <c r="AM86" s="101"/>
      <c r="AN86" s="487"/>
      <c r="AO86" s="487"/>
      <c r="AP86" s="101">
        <v>0</v>
      </c>
      <c r="AQ86" s="49"/>
      <c r="AR86" s="101"/>
      <c r="AS86" s="487"/>
      <c r="AT86" s="487"/>
      <c r="AU86" s="101">
        <v>0</v>
      </c>
      <c r="AV86" s="49"/>
      <c r="AW86" s="101"/>
      <c r="AX86" s="487"/>
      <c r="AY86" s="487"/>
      <c r="AZ86" s="101">
        <v>0</v>
      </c>
      <c r="BA86" s="49"/>
      <c r="BB86" s="101"/>
      <c r="BC86" s="487"/>
      <c r="BD86" s="487"/>
      <c r="BE86" s="101">
        <v>0</v>
      </c>
      <c r="BF86" s="49"/>
      <c r="BG86" s="101"/>
      <c r="BH86" s="487"/>
      <c r="BI86" s="487"/>
      <c r="BJ86" s="101">
        <v>0</v>
      </c>
      <c r="BK86" s="49"/>
      <c r="BL86" s="101"/>
      <c r="BM86" s="487"/>
      <c r="BN86" s="487"/>
      <c r="BO86" s="101">
        <v>0</v>
      </c>
      <c r="BP86" s="49"/>
      <c r="BQ86" s="101"/>
      <c r="BR86" s="487"/>
      <c r="BS86" s="487"/>
      <c r="BT86" s="101">
        <f>SUM(L86:BO86)</f>
        <v>0</v>
      </c>
      <c r="BU86" s="49"/>
      <c r="BV86" s="101"/>
      <c r="BW86" s="398"/>
      <c r="BZ86" s="411"/>
      <c r="CA86" s="411"/>
    </row>
    <row r="87" spans="1:79" ht="12.75" hidden="1" customHeight="1" x14ac:dyDescent="0.2">
      <c r="A87" s="388"/>
      <c r="B87" s="388"/>
      <c r="D87" s="398" t="s">
        <v>376</v>
      </c>
      <c r="E87" s="487"/>
      <c r="F87" s="404"/>
      <c r="G87" s="101">
        <v>0</v>
      </c>
      <c r="H87" s="49"/>
      <c r="I87" s="101"/>
      <c r="J87" s="487"/>
      <c r="K87" s="487"/>
      <c r="L87" s="101">
        <v>0</v>
      </c>
      <c r="M87" s="49"/>
      <c r="N87" s="101"/>
      <c r="O87" s="487"/>
      <c r="P87" s="487"/>
      <c r="Q87" s="101">
        <v>0</v>
      </c>
      <c r="R87" s="49"/>
      <c r="S87" s="101"/>
      <c r="T87" s="487"/>
      <c r="U87" s="487"/>
      <c r="V87" s="101">
        <v>0</v>
      </c>
      <c r="W87" s="49"/>
      <c r="X87" s="101"/>
      <c r="Y87" s="487"/>
      <c r="Z87" s="487"/>
      <c r="AA87" s="101">
        <v>0</v>
      </c>
      <c r="AB87" s="49"/>
      <c r="AC87" s="101"/>
      <c r="AD87" s="487"/>
      <c r="AE87" s="487"/>
      <c r="AF87" s="101">
        <v>0</v>
      </c>
      <c r="AG87" s="49"/>
      <c r="AH87" s="101"/>
      <c r="AI87" s="487"/>
      <c r="AJ87" s="487"/>
      <c r="AK87" s="101">
        <v>0</v>
      </c>
      <c r="AL87" s="49"/>
      <c r="AM87" s="101"/>
      <c r="AN87" s="487"/>
      <c r="AO87" s="487"/>
      <c r="AP87" s="101">
        <v>0</v>
      </c>
      <c r="AQ87" s="49"/>
      <c r="AR87" s="101"/>
      <c r="AS87" s="487"/>
      <c r="AT87" s="487"/>
      <c r="AU87" s="101">
        <v>0</v>
      </c>
      <c r="AV87" s="49"/>
      <c r="AW87" s="101"/>
      <c r="AX87" s="487"/>
      <c r="AY87" s="487"/>
      <c r="AZ87" s="101">
        <v>0</v>
      </c>
      <c r="BA87" s="49"/>
      <c r="BB87" s="101"/>
      <c r="BC87" s="487"/>
      <c r="BD87" s="487"/>
      <c r="BE87" s="101">
        <v>0</v>
      </c>
      <c r="BF87" s="49"/>
      <c r="BG87" s="101"/>
      <c r="BH87" s="487"/>
      <c r="BI87" s="487"/>
      <c r="BJ87" s="101">
        <v>0</v>
      </c>
      <c r="BK87" s="49"/>
      <c r="BL87" s="101"/>
      <c r="BM87" s="487"/>
      <c r="BN87" s="487"/>
      <c r="BO87" s="101">
        <v>0</v>
      </c>
      <c r="BP87" s="49"/>
      <c r="BQ87" s="101"/>
      <c r="BR87" s="487"/>
      <c r="BS87" s="487"/>
      <c r="BT87" s="101">
        <f>SUM(L87:BO87)</f>
        <v>0</v>
      </c>
      <c r="BU87" s="49"/>
      <c r="BV87" s="101"/>
      <c r="BW87" s="398"/>
      <c r="BZ87" s="411"/>
      <c r="CA87" s="411"/>
    </row>
    <row r="88" spans="1:79" ht="12.75" hidden="1" customHeight="1" x14ac:dyDescent="0.2">
      <c r="A88" s="388"/>
      <c r="B88" s="388"/>
      <c r="D88" s="398" t="s">
        <v>377</v>
      </c>
      <c r="E88" s="487"/>
      <c r="F88" s="427"/>
      <c r="G88" s="496">
        <v>0</v>
      </c>
      <c r="H88" s="90"/>
      <c r="I88" s="101"/>
      <c r="J88" s="487"/>
      <c r="K88" s="497"/>
      <c r="L88" s="496">
        <v>0</v>
      </c>
      <c r="M88" s="90"/>
      <c r="N88" s="101"/>
      <c r="O88" s="487"/>
      <c r="P88" s="497"/>
      <c r="Q88" s="496">
        <v>0</v>
      </c>
      <c r="R88" s="90"/>
      <c r="S88" s="101"/>
      <c r="T88" s="487"/>
      <c r="U88" s="497"/>
      <c r="V88" s="496">
        <v>0</v>
      </c>
      <c r="W88" s="90"/>
      <c r="X88" s="101"/>
      <c r="Y88" s="487"/>
      <c r="Z88" s="497"/>
      <c r="AA88" s="496">
        <v>0</v>
      </c>
      <c r="AB88" s="90"/>
      <c r="AC88" s="101"/>
      <c r="AD88" s="487"/>
      <c r="AE88" s="497"/>
      <c r="AF88" s="496">
        <v>0</v>
      </c>
      <c r="AG88" s="90"/>
      <c r="AH88" s="101"/>
      <c r="AI88" s="487"/>
      <c r="AJ88" s="497"/>
      <c r="AK88" s="496">
        <v>0</v>
      </c>
      <c r="AL88" s="90"/>
      <c r="AM88" s="101"/>
      <c r="AN88" s="487"/>
      <c r="AO88" s="497"/>
      <c r="AP88" s="496">
        <v>0</v>
      </c>
      <c r="AQ88" s="90"/>
      <c r="AR88" s="101"/>
      <c r="AS88" s="487"/>
      <c r="AT88" s="497"/>
      <c r="AU88" s="496">
        <v>0</v>
      </c>
      <c r="AV88" s="90"/>
      <c r="AW88" s="101"/>
      <c r="AX88" s="487"/>
      <c r="AY88" s="497"/>
      <c r="AZ88" s="496">
        <v>0</v>
      </c>
      <c r="BA88" s="90"/>
      <c r="BB88" s="101"/>
      <c r="BC88" s="487"/>
      <c r="BD88" s="497"/>
      <c r="BE88" s="496">
        <v>0</v>
      </c>
      <c r="BF88" s="90"/>
      <c r="BG88" s="101"/>
      <c r="BH88" s="487"/>
      <c r="BI88" s="497"/>
      <c r="BJ88" s="496">
        <v>0</v>
      </c>
      <c r="BK88" s="90"/>
      <c r="BL88" s="101"/>
      <c r="BM88" s="487"/>
      <c r="BN88" s="497"/>
      <c r="BO88" s="496">
        <v>0</v>
      </c>
      <c r="BP88" s="90"/>
      <c r="BQ88" s="101"/>
      <c r="BR88" s="487"/>
      <c r="BS88" s="497"/>
      <c r="BT88" s="496">
        <f>SUM(L88:BO88)</f>
        <v>0</v>
      </c>
      <c r="BU88" s="90"/>
      <c r="BV88" s="101"/>
      <c r="BW88" s="398"/>
      <c r="BZ88" s="411"/>
      <c r="CA88" s="411"/>
    </row>
    <row r="89" spans="1:79" ht="12.75" hidden="1" customHeight="1" x14ac:dyDescent="0.2">
      <c r="A89" s="388"/>
      <c r="B89" s="388"/>
      <c r="D89" s="398"/>
      <c r="E89" s="487"/>
      <c r="F89" s="388"/>
      <c r="G89" s="101"/>
      <c r="H89" s="101"/>
      <c r="I89" s="101"/>
      <c r="J89" s="487"/>
      <c r="K89" s="101"/>
      <c r="L89" s="101"/>
      <c r="M89" s="101"/>
      <c r="N89" s="101"/>
      <c r="O89" s="487"/>
      <c r="P89" s="101"/>
      <c r="Q89" s="101"/>
      <c r="R89" s="101"/>
      <c r="S89" s="101"/>
      <c r="T89" s="487"/>
      <c r="U89" s="101"/>
      <c r="V89" s="101"/>
      <c r="W89" s="101"/>
      <c r="X89" s="101"/>
      <c r="Y89" s="487"/>
      <c r="Z89" s="101"/>
      <c r="AA89" s="101"/>
      <c r="AB89" s="101"/>
      <c r="AC89" s="101"/>
      <c r="AD89" s="487"/>
      <c r="AE89" s="101"/>
      <c r="AF89" s="101"/>
      <c r="AG89" s="101"/>
      <c r="AH89" s="101"/>
      <c r="AI89" s="487"/>
      <c r="AJ89" s="101"/>
      <c r="AK89" s="101"/>
      <c r="AL89" s="101"/>
      <c r="AM89" s="101"/>
      <c r="AN89" s="487"/>
      <c r="AO89" s="101"/>
      <c r="AP89" s="101"/>
      <c r="AQ89" s="101"/>
      <c r="AR89" s="101"/>
      <c r="AS89" s="487"/>
      <c r="AT89" s="101"/>
      <c r="AU89" s="101"/>
      <c r="AV89" s="101"/>
      <c r="AW89" s="101"/>
      <c r="AX89" s="487"/>
      <c r="AY89" s="101"/>
      <c r="AZ89" s="101"/>
      <c r="BA89" s="101"/>
      <c r="BB89" s="101"/>
      <c r="BC89" s="487"/>
      <c r="BD89" s="101"/>
      <c r="BE89" s="101"/>
      <c r="BF89" s="101"/>
      <c r="BG89" s="101"/>
      <c r="BH89" s="487"/>
      <c r="BI89" s="101"/>
      <c r="BJ89" s="101"/>
      <c r="BK89" s="101"/>
      <c r="BL89" s="101"/>
      <c r="BM89" s="487"/>
      <c r="BN89" s="101"/>
      <c r="BO89" s="101"/>
      <c r="BP89" s="101"/>
      <c r="BQ89" s="101"/>
      <c r="BR89" s="487"/>
      <c r="BS89" s="101"/>
      <c r="BT89" s="101"/>
      <c r="BU89" s="101"/>
      <c r="BV89" s="101"/>
      <c r="BW89" s="398"/>
      <c r="BZ89" s="411"/>
      <c r="CA89" s="411"/>
    </row>
    <row r="90" spans="1:79" ht="12.75" hidden="1" customHeight="1" x14ac:dyDescent="0.2">
      <c r="A90" s="388"/>
      <c r="B90" s="388"/>
      <c r="D90" s="398" t="s">
        <v>389</v>
      </c>
      <c r="E90" s="487"/>
      <c r="F90" s="388"/>
      <c r="G90" s="101">
        <f>SUM(G91:G93)</f>
        <v>0</v>
      </c>
      <c r="H90" s="101"/>
      <c r="I90" s="101"/>
      <c r="J90" s="487"/>
      <c r="K90" s="101"/>
      <c r="L90" s="101">
        <f>SUM(L91:L93)</f>
        <v>0</v>
      </c>
      <c r="M90" s="101"/>
      <c r="N90" s="101"/>
      <c r="O90" s="487"/>
      <c r="P90" s="101"/>
      <c r="Q90" s="101">
        <f>SUM(Q91:Q93)</f>
        <v>0</v>
      </c>
      <c r="R90" s="101"/>
      <c r="S90" s="101"/>
      <c r="T90" s="487"/>
      <c r="U90" s="101"/>
      <c r="V90" s="101">
        <f>SUM(V91:V93)</f>
        <v>0</v>
      </c>
      <c r="W90" s="101"/>
      <c r="X90" s="101"/>
      <c r="Y90" s="487"/>
      <c r="Z90" s="101"/>
      <c r="AA90" s="101">
        <f>SUM(AA91:AA93)</f>
        <v>0</v>
      </c>
      <c r="AB90" s="101"/>
      <c r="AC90" s="101"/>
      <c r="AD90" s="487"/>
      <c r="AE90" s="101"/>
      <c r="AF90" s="101">
        <f>SUM(AF91:AF93)</f>
        <v>0</v>
      </c>
      <c r="AG90" s="101"/>
      <c r="AH90" s="101"/>
      <c r="AI90" s="487"/>
      <c r="AJ90" s="101"/>
      <c r="AK90" s="101">
        <f>SUM(AK91:AK93)</f>
        <v>0</v>
      </c>
      <c r="AL90" s="101"/>
      <c r="AM90" s="101"/>
      <c r="AN90" s="487"/>
      <c r="AO90" s="101"/>
      <c r="AP90" s="101">
        <f>SUM(AP91:AP93)</f>
        <v>0</v>
      </c>
      <c r="AQ90" s="101"/>
      <c r="AR90" s="101"/>
      <c r="AS90" s="487"/>
      <c r="AT90" s="101"/>
      <c r="AU90" s="101">
        <f>SUM(AU91:AU93)</f>
        <v>0</v>
      </c>
      <c r="AV90" s="101"/>
      <c r="AW90" s="101"/>
      <c r="AX90" s="487"/>
      <c r="AY90" s="101"/>
      <c r="AZ90" s="101">
        <f>SUM(AZ91:AZ93)</f>
        <v>0</v>
      </c>
      <c r="BA90" s="101"/>
      <c r="BB90" s="101"/>
      <c r="BC90" s="487"/>
      <c r="BD90" s="101"/>
      <c r="BE90" s="101">
        <f>SUM(BE91:BE93)</f>
        <v>0</v>
      </c>
      <c r="BF90" s="101"/>
      <c r="BG90" s="101"/>
      <c r="BH90" s="487"/>
      <c r="BI90" s="101"/>
      <c r="BJ90" s="101">
        <f>SUM(BJ91:BJ93)</f>
        <v>0</v>
      </c>
      <c r="BK90" s="101"/>
      <c r="BL90" s="101"/>
      <c r="BM90" s="487"/>
      <c r="BN90" s="101"/>
      <c r="BO90" s="101">
        <f>SUM(BO91:BO93)</f>
        <v>0</v>
      </c>
      <c r="BP90" s="101"/>
      <c r="BQ90" s="101"/>
      <c r="BR90" s="487"/>
      <c r="BS90" s="101"/>
      <c r="BT90" s="101">
        <f>SUM(BT91:BT93)</f>
        <v>0</v>
      </c>
      <c r="BU90" s="101"/>
      <c r="BV90" s="101"/>
      <c r="BW90" s="398"/>
      <c r="BZ90" s="411"/>
      <c r="CA90" s="411"/>
    </row>
    <row r="91" spans="1:79" ht="12.75" hidden="1" customHeight="1" x14ac:dyDescent="0.2">
      <c r="A91" s="388"/>
      <c r="B91" s="388"/>
      <c r="D91" s="398" t="s">
        <v>373</v>
      </c>
      <c r="E91" s="487"/>
      <c r="F91" s="412"/>
      <c r="G91" s="485">
        <v>0</v>
      </c>
      <c r="H91" s="486"/>
      <c r="I91" s="101"/>
      <c r="J91" s="487"/>
      <c r="K91" s="488"/>
      <c r="L91" s="485">
        <v>0</v>
      </c>
      <c r="M91" s="486"/>
      <c r="N91" s="101"/>
      <c r="O91" s="487"/>
      <c r="P91" s="488"/>
      <c r="Q91" s="485">
        <v>0</v>
      </c>
      <c r="R91" s="486"/>
      <c r="S91" s="101"/>
      <c r="T91" s="487"/>
      <c r="U91" s="412"/>
      <c r="V91" s="485">
        <v>0</v>
      </c>
      <c r="W91" s="486"/>
      <c r="X91" s="101"/>
      <c r="Y91" s="487"/>
      <c r="Z91" s="488"/>
      <c r="AA91" s="485">
        <v>0</v>
      </c>
      <c r="AB91" s="486"/>
      <c r="AC91" s="101"/>
      <c r="AD91" s="487"/>
      <c r="AE91" s="488"/>
      <c r="AF91" s="485">
        <v>0</v>
      </c>
      <c r="AG91" s="486"/>
      <c r="AH91" s="101"/>
      <c r="AI91" s="487"/>
      <c r="AJ91" s="488"/>
      <c r="AK91" s="485">
        <v>0</v>
      </c>
      <c r="AL91" s="486"/>
      <c r="AM91" s="101"/>
      <c r="AN91" s="487"/>
      <c r="AO91" s="488"/>
      <c r="AP91" s="485">
        <v>0</v>
      </c>
      <c r="AQ91" s="486"/>
      <c r="AR91" s="101"/>
      <c r="AS91" s="487"/>
      <c r="AT91" s="488"/>
      <c r="AU91" s="485">
        <v>0</v>
      </c>
      <c r="AV91" s="486"/>
      <c r="AW91" s="101"/>
      <c r="AX91" s="487"/>
      <c r="AY91" s="488"/>
      <c r="AZ91" s="485">
        <v>0</v>
      </c>
      <c r="BA91" s="486"/>
      <c r="BB91" s="101"/>
      <c r="BC91" s="487"/>
      <c r="BD91" s="488"/>
      <c r="BE91" s="485">
        <v>0</v>
      </c>
      <c r="BF91" s="486"/>
      <c r="BG91" s="101"/>
      <c r="BH91" s="487"/>
      <c r="BI91" s="488"/>
      <c r="BJ91" s="485">
        <v>0</v>
      </c>
      <c r="BK91" s="486"/>
      <c r="BL91" s="101"/>
      <c r="BM91" s="487"/>
      <c r="BN91" s="488"/>
      <c r="BO91" s="485">
        <v>0</v>
      </c>
      <c r="BP91" s="486"/>
      <c r="BQ91" s="101"/>
      <c r="BR91" s="487"/>
      <c r="BS91" s="488"/>
      <c r="BT91" s="485">
        <f>SUM(L91:BO91)</f>
        <v>0</v>
      </c>
      <c r="BU91" s="486"/>
      <c r="BV91" s="101"/>
      <c r="BW91" s="398"/>
      <c r="BZ91" s="411"/>
      <c r="CA91" s="411"/>
    </row>
    <row r="92" spans="1:79" ht="12.75" hidden="1" customHeight="1" x14ac:dyDescent="0.2">
      <c r="A92" s="388"/>
      <c r="B92" s="388"/>
      <c r="D92" s="398" t="s">
        <v>375</v>
      </c>
      <c r="E92" s="487"/>
      <c r="F92" s="404"/>
      <c r="G92" s="101">
        <v>0</v>
      </c>
      <c r="H92" s="49"/>
      <c r="I92" s="101"/>
      <c r="J92" s="487"/>
      <c r="K92" s="487"/>
      <c r="L92" s="101">
        <v>0</v>
      </c>
      <c r="M92" s="49"/>
      <c r="N92" s="101"/>
      <c r="O92" s="487"/>
      <c r="P92" s="487"/>
      <c r="Q92" s="101">
        <v>0</v>
      </c>
      <c r="R92" s="49"/>
      <c r="S92" s="101"/>
      <c r="T92" s="487"/>
      <c r="U92" s="404"/>
      <c r="V92" s="101">
        <v>0</v>
      </c>
      <c r="W92" s="49"/>
      <c r="X92" s="101"/>
      <c r="Y92" s="487"/>
      <c r="Z92" s="487"/>
      <c r="AA92" s="101">
        <v>0</v>
      </c>
      <c r="AB92" s="49"/>
      <c r="AC92" s="101"/>
      <c r="AD92" s="487"/>
      <c r="AE92" s="487"/>
      <c r="AF92" s="101">
        <v>0</v>
      </c>
      <c r="AG92" s="49"/>
      <c r="AH92" s="101"/>
      <c r="AI92" s="487"/>
      <c r="AJ92" s="487"/>
      <c r="AK92" s="101">
        <v>0</v>
      </c>
      <c r="AL92" s="49"/>
      <c r="AM92" s="101"/>
      <c r="AN92" s="487"/>
      <c r="AO92" s="487"/>
      <c r="AP92" s="101">
        <v>0</v>
      </c>
      <c r="AQ92" s="49"/>
      <c r="AR92" s="101"/>
      <c r="AS92" s="487"/>
      <c r="AT92" s="487"/>
      <c r="AU92" s="101">
        <v>0</v>
      </c>
      <c r="AV92" s="49"/>
      <c r="AW92" s="101"/>
      <c r="AX92" s="487"/>
      <c r="AY92" s="487"/>
      <c r="AZ92" s="101">
        <v>0</v>
      </c>
      <c r="BA92" s="49"/>
      <c r="BB92" s="101"/>
      <c r="BC92" s="487"/>
      <c r="BD92" s="487"/>
      <c r="BE92" s="101">
        <v>0</v>
      </c>
      <c r="BF92" s="49"/>
      <c r="BG92" s="101"/>
      <c r="BH92" s="487"/>
      <c r="BI92" s="487"/>
      <c r="BJ92" s="101">
        <v>0</v>
      </c>
      <c r="BK92" s="49"/>
      <c r="BL92" s="101"/>
      <c r="BM92" s="487"/>
      <c r="BN92" s="487"/>
      <c r="BO92" s="101">
        <v>0</v>
      </c>
      <c r="BP92" s="49"/>
      <c r="BQ92" s="101"/>
      <c r="BR92" s="487"/>
      <c r="BS92" s="487"/>
      <c r="BT92" s="101">
        <f>SUM(L92:BO92)</f>
        <v>0</v>
      </c>
      <c r="BU92" s="49"/>
      <c r="BV92" s="101"/>
      <c r="BW92" s="398"/>
      <c r="BZ92" s="411"/>
      <c r="CA92" s="411"/>
    </row>
    <row r="93" spans="1:79" ht="12.75" hidden="1" customHeight="1" x14ac:dyDescent="0.2">
      <c r="A93" s="388"/>
      <c r="B93" s="388"/>
      <c r="D93" s="398" t="s">
        <v>383</v>
      </c>
      <c r="E93" s="487"/>
      <c r="F93" s="427"/>
      <c r="G93" s="496">
        <v>0</v>
      </c>
      <c r="H93" s="90"/>
      <c r="I93" s="101"/>
      <c r="J93" s="487"/>
      <c r="K93" s="497"/>
      <c r="L93" s="496">
        <v>0</v>
      </c>
      <c r="M93" s="90"/>
      <c r="N93" s="101"/>
      <c r="O93" s="487"/>
      <c r="P93" s="497"/>
      <c r="Q93" s="496">
        <v>0</v>
      </c>
      <c r="R93" s="90"/>
      <c r="S93" s="101"/>
      <c r="T93" s="487"/>
      <c r="U93" s="427"/>
      <c r="V93" s="496">
        <v>0</v>
      </c>
      <c r="W93" s="90"/>
      <c r="X93" s="101"/>
      <c r="Y93" s="487"/>
      <c r="Z93" s="497"/>
      <c r="AA93" s="496">
        <v>0</v>
      </c>
      <c r="AB93" s="90"/>
      <c r="AC93" s="101"/>
      <c r="AD93" s="487"/>
      <c r="AE93" s="497"/>
      <c r="AF93" s="496">
        <v>0</v>
      </c>
      <c r="AG93" s="90"/>
      <c r="AH93" s="101"/>
      <c r="AI93" s="487"/>
      <c r="AJ93" s="497"/>
      <c r="AK93" s="496">
        <v>0</v>
      </c>
      <c r="AL93" s="90"/>
      <c r="AM93" s="101"/>
      <c r="AN93" s="487"/>
      <c r="AO93" s="497"/>
      <c r="AP93" s="496">
        <v>0</v>
      </c>
      <c r="AQ93" s="90"/>
      <c r="AR93" s="101"/>
      <c r="AS93" s="487"/>
      <c r="AT93" s="497"/>
      <c r="AU93" s="496">
        <v>0</v>
      </c>
      <c r="AV93" s="90"/>
      <c r="AW93" s="101"/>
      <c r="AX93" s="487"/>
      <c r="AY93" s="497"/>
      <c r="AZ93" s="496">
        <v>0</v>
      </c>
      <c r="BA93" s="90"/>
      <c r="BB93" s="101"/>
      <c r="BC93" s="487"/>
      <c r="BD93" s="497"/>
      <c r="BE93" s="496">
        <v>0</v>
      </c>
      <c r="BF93" s="90"/>
      <c r="BG93" s="101"/>
      <c r="BH93" s="487"/>
      <c r="BI93" s="497"/>
      <c r="BJ93" s="496">
        <v>0</v>
      </c>
      <c r="BK93" s="90"/>
      <c r="BL93" s="101"/>
      <c r="BM93" s="487"/>
      <c r="BN93" s="497"/>
      <c r="BO93" s="496">
        <v>0</v>
      </c>
      <c r="BP93" s="90"/>
      <c r="BQ93" s="101"/>
      <c r="BR93" s="487"/>
      <c r="BS93" s="497"/>
      <c r="BT93" s="496">
        <f>SUM(L93:BO93)</f>
        <v>0</v>
      </c>
      <c r="BU93" s="90"/>
      <c r="BV93" s="101"/>
      <c r="BW93" s="398"/>
      <c r="BZ93" s="411"/>
      <c r="CA93" s="411"/>
    </row>
    <row r="94" spans="1:79" ht="12.75" hidden="1" customHeight="1" x14ac:dyDescent="0.2">
      <c r="A94" s="388"/>
      <c r="B94" s="388"/>
      <c r="D94" s="398"/>
      <c r="E94" s="487"/>
      <c r="F94" s="388"/>
      <c r="G94" s="101"/>
      <c r="H94" s="101"/>
      <c r="I94" s="101"/>
      <c r="J94" s="487"/>
      <c r="K94" s="101"/>
      <c r="L94" s="101"/>
      <c r="M94" s="101"/>
      <c r="N94" s="101"/>
      <c r="O94" s="487"/>
      <c r="P94" s="101"/>
      <c r="Q94" s="101"/>
      <c r="R94" s="101"/>
      <c r="S94" s="101"/>
      <c r="T94" s="487"/>
      <c r="U94" s="101"/>
      <c r="V94" s="101"/>
      <c r="W94" s="101"/>
      <c r="X94" s="101"/>
      <c r="Y94" s="487"/>
      <c r="Z94" s="101"/>
      <c r="AA94" s="101"/>
      <c r="AB94" s="101"/>
      <c r="AC94" s="101"/>
      <c r="AD94" s="487"/>
      <c r="AE94" s="101"/>
      <c r="AF94" s="101"/>
      <c r="AG94" s="101"/>
      <c r="AH94" s="101"/>
      <c r="AI94" s="487"/>
      <c r="AJ94" s="101"/>
      <c r="AK94" s="101"/>
      <c r="AL94" s="101"/>
      <c r="AM94" s="101"/>
      <c r="AN94" s="487"/>
      <c r="AO94" s="101"/>
      <c r="AP94" s="101"/>
      <c r="AQ94" s="101"/>
      <c r="AR94" s="101"/>
      <c r="AS94" s="487"/>
      <c r="AT94" s="101"/>
      <c r="AU94" s="101"/>
      <c r="AV94" s="101"/>
      <c r="AW94" s="101"/>
      <c r="AX94" s="487"/>
      <c r="AY94" s="101"/>
      <c r="AZ94" s="101"/>
      <c r="BA94" s="101"/>
      <c r="BB94" s="101"/>
      <c r="BC94" s="487"/>
      <c r="BD94" s="101"/>
      <c r="BE94" s="101"/>
      <c r="BF94" s="101"/>
      <c r="BG94" s="101"/>
      <c r="BH94" s="487"/>
      <c r="BI94" s="101"/>
      <c r="BJ94" s="101"/>
      <c r="BK94" s="101"/>
      <c r="BL94" s="101"/>
      <c r="BM94" s="487"/>
      <c r="BN94" s="101"/>
      <c r="BO94" s="101"/>
      <c r="BP94" s="101"/>
      <c r="BQ94" s="101"/>
      <c r="BR94" s="487"/>
      <c r="BS94" s="101"/>
      <c r="BT94" s="101"/>
      <c r="BU94" s="101"/>
      <c r="BV94" s="101"/>
      <c r="BW94" s="398"/>
      <c r="BZ94" s="411"/>
      <c r="CA94" s="411"/>
    </row>
    <row r="95" spans="1:79" ht="12.75" hidden="1" customHeight="1" x14ac:dyDescent="0.2">
      <c r="A95" s="388"/>
      <c r="B95" s="388"/>
      <c r="C95" s="499"/>
      <c r="D95" s="419" t="s">
        <v>390</v>
      </c>
      <c r="E95" s="487"/>
      <c r="F95" s="388"/>
      <c r="G95" s="101">
        <f>SUM(G96:G98)</f>
        <v>0</v>
      </c>
      <c r="H95" s="101"/>
      <c r="I95" s="101"/>
      <c r="J95" s="487"/>
      <c r="K95" s="101"/>
      <c r="L95" s="101">
        <f>SUM(L96:L98)</f>
        <v>0</v>
      </c>
      <c r="M95" s="101"/>
      <c r="N95" s="101"/>
      <c r="O95" s="487"/>
      <c r="P95" s="101"/>
      <c r="Q95" s="101">
        <f>SUM(Q96:Q98)</f>
        <v>0</v>
      </c>
      <c r="R95" s="101"/>
      <c r="S95" s="101"/>
      <c r="T95" s="487"/>
      <c r="U95" s="101"/>
      <c r="V95" s="101">
        <f>SUM(V96:V98)</f>
        <v>0</v>
      </c>
      <c r="W95" s="101"/>
      <c r="X95" s="101"/>
      <c r="Y95" s="487"/>
      <c r="Z95" s="101"/>
      <c r="AA95" s="101">
        <f>SUM(AA96:AA98)</f>
        <v>0</v>
      </c>
      <c r="AB95" s="101"/>
      <c r="AC95" s="101"/>
      <c r="AD95" s="487"/>
      <c r="AE95" s="101"/>
      <c r="AF95" s="101">
        <f>SUM(AF96:AF98)</f>
        <v>0</v>
      </c>
      <c r="AG95" s="101"/>
      <c r="AH95" s="101"/>
      <c r="AI95" s="487"/>
      <c r="AJ95" s="101"/>
      <c r="AK95" s="101">
        <f>SUM(AK96:AK98)</f>
        <v>0</v>
      </c>
      <c r="AL95" s="101"/>
      <c r="AM95" s="101"/>
      <c r="AN95" s="487"/>
      <c r="AO95" s="101"/>
      <c r="AP95" s="101">
        <f>SUM(AP96:AP98)</f>
        <v>0</v>
      </c>
      <c r="AQ95" s="101"/>
      <c r="AR95" s="101"/>
      <c r="AS95" s="487"/>
      <c r="AT95" s="101"/>
      <c r="AU95" s="101">
        <f>SUM(AU96:AU98)</f>
        <v>0</v>
      </c>
      <c r="AV95" s="101"/>
      <c r="AW95" s="101"/>
      <c r="AX95" s="487"/>
      <c r="AY95" s="101"/>
      <c r="AZ95" s="101">
        <f>SUM(AZ96:AZ98)</f>
        <v>0</v>
      </c>
      <c r="BA95" s="101"/>
      <c r="BB95" s="101"/>
      <c r="BC95" s="487"/>
      <c r="BD95" s="101"/>
      <c r="BE95" s="101">
        <f>SUM(BE96:BE98)</f>
        <v>0</v>
      </c>
      <c r="BF95" s="101"/>
      <c r="BG95" s="101"/>
      <c r="BH95" s="487"/>
      <c r="BI95" s="101"/>
      <c r="BJ95" s="101">
        <f>SUM(BJ96:BJ98)</f>
        <v>0</v>
      </c>
      <c r="BK95" s="101"/>
      <c r="BL95" s="101"/>
      <c r="BM95" s="487"/>
      <c r="BN95" s="101"/>
      <c r="BO95" s="101">
        <f>SUM(BO96:BO98)</f>
        <v>0</v>
      </c>
      <c r="BP95" s="101"/>
      <c r="BQ95" s="101"/>
      <c r="BR95" s="487"/>
      <c r="BS95" s="101"/>
      <c r="BT95" s="101">
        <f>SUM(BT96:BT98)</f>
        <v>0</v>
      </c>
      <c r="BU95" s="101"/>
      <c r="BV95" s="101"/>
      <c r="BW95" s="398"/>
      <c r="BZ95" s="411"/>
      <c r="CA95" s="411"/>
    </row>
    <row r="96" spans="1:79" ht="12.75" hidden="1" customHeight="1" x14ac:dyDescent="0.2">
      <c r="A96" s="388"/>
      <c r="B96" s="388"/>
      <c r="D96" s="398" t="s">
        <v>373</v>
      </c>
      <c r="E96" s="487"/>
      <c r="F96" s="412"/>
      <c r="G96" s="485">
        <v>0</v>
      </c>
      <c r="H96" s="486"/>
      <c r="I96" s="101"/>
      <c r="J96" s="487"/>
      <c r="K96" s="488"/>
      <c r="L96" s="485">
        <v>0</v>
      </c>
      <c r="M96" s="486"/>
      <c r="N96" s="101"/>
      <c r="O96" s="487"/>
      <c r="P96" s="488"/>
      <c r="Q96" s="485">
        <v>0</v>
      </c>
      <c r="R96" s="486"/>
      <c r="S96" s="101"/>
      <c r="T96" s="487"/>
      <c r="U96" s="488"/>
      <c r="V96" s="485">
        <v>0</v>
      </c>
      <c r="W96" s="486"/>
      <c r="X96" s="101"/>
      <c r="Y96" s="487"/>
      <c r="Z96" s="488"/>
      <c r="AA96" s="485">
        <v>0</v>
      </c>
      <c r="AB96" s="486"/>
      <c r="AC96" s="101"/>
      <c r="AD96" s="487"/>
      <c r="AE96" s="488"/>
      <c r="AF96" s="485">
        <v>0</v>
      </c>
      <c r="AG96" s="486"/>
      <c r="AH96" s="101"/>
      <c r="AI96" s="487"/>
      <c r="AJ96" s="488"/>
      <c r="AK96" s="485">
        <v>0</v>
      </c>
      <c r="AL96" s="486"/>
      <c r="AM96" s="101"/>
      <c r="AN96" s="487"/>
      <c r="AO96" s="488"/>
      <c r="AP96" s="485">
        <v>0</v>
      </c>
      <c r="AQ96" s="486"/>
      <c r="AR96" s="101"/>
      <c r="AS96" s="487"/>
      <c r="AT96" s="488"/>
      <c r="AU96" s="485">
        <v>0</v>
      </c>
      <c r="AV96" s="486"/>
      <c r="AW96" s="101"/>
      <c r="AX96" s="487"/>
      <c r="AY96" s="488"/>
      <c r="AZ96" s="485">
        <v>0</v>
      </c>
      <c r="BA96" s="486"/>
      <c r="BB96" s="101"/>
      <c r="BC96" s="487"/>
      <c r="BD96" s="488"/>
      <c r="BE96" s="485">
        <v>0</v>
      </c>
      <c r="BF96" s="486"/>
      <c r="BG96" s="101"/>
      <c r="BH96" s="487"/>
      <c r="BI96" s="488"/>
      <c r="BJ96" s="485">
        <v>0</v>
      </c>
      <c r="BK96" s="486"/>
      <c r="BL96" s="101"/>
      <c r="BM96" s="487"/>
      <c r="BN96" s="488"/>
      <c r="BO96" s="485">
        <v>0</v>
      </c>
      <c r="BP96" s="486"/>
      <c r="BQ96" s="101"/>
      <c r="BR96" s="487"/>
      <c r="BS96" s="488"/>
      <c r="BT96" s="485">
        <f>SUM(L96:BO96)</f>
        <v>0</v>
      </c>
      <c r="BU96" s="486"/>
      <c r="BV96" s="101"/>
      <c r="BW96" s="398"/>
      <c r="BZ96" s="411"/>
      <c r="CA96" s="411"/>
    </row>
    <row r="97" spans="1:79" ht="12.75" hidden="1" customHeight="1" x14ac:dyDescent="0.2">
      <c r="A97" s="388"/>
      <c r="B97" s="388"/>
      <c r="D97" s="398" t="s">
        <v>375</v>
      </c>
      <c r="E97" s="487"/>
      <c r="F97" s="404"/>
      <c r="G97" s="101">
        <v>0</v>
      </c>
      <c r="H97" s="49"/>
      <c r="I97" s="101"/>
      <c r="J97" s="487"/>
      <c r="K97" s="487"/>
      <c r="L97" s="101">
        <v>0</v>
      </c>
      <c r="M97" s="49"/>
      <c r="N97" s="101"/>
      <c r="O97" s="487"/>
      <c r="P97" s="487"/>
      <c r="Q97" s="101">
        <v>0</v>
      </c>
      <c r="R97" s="49"/>
      <c r="S97" s="101"/>
      <c r="T97" s="487"/>
      <c r="U97" s="487"/>
      <c r="V97" s="101">
        <v>0</v>
      </c>
      <c r="W97" s="49"/>
      <c r="X97" s="101"/>
      <c r="Y97" s="487"/>
      <c r="Z97" s="487"/>
      <c r="AA97" s="101">
        <v>0</v>
      </c>
      <c r="AB97" s="49"/>
      <c r="AC97" s="101"/>
      <c r="AD97" s="487"/>
      <c r="AE97" s="487"/>
      <c r="AF97" s="101">
        <v>0</v>
      </c>
      <c r="AG97" s="49"/>
      <c r="AH97" s="101"/>
      <c r="AI97" s="487"/>
      <c r="AJ97" s="487"/>
      <c r="AK97" s="101">
        <v>0</v>
      </c>
      <c r="AL97" s="49"/>
      <c r="AM97" s="101"/>
      <c r="AN97" s="487"/>
      <c r="AO97" s="487"/>
      <c r="AP97" s="101">
        <v>0</v>
      </c>
      <c r="AQ97" s="49"/>
      <c r="AR97" s="101"/>
      <c r="AS97" s="487"/>
      <c r="AT97" s="487"/>
      <c r="AU97" s="101">
        <v>0</v>
      </c>
      <c r="AV97" s="49"/>
      <c r="AW97" s="101"/>
      <c r="AX97" s="487"/>
      <c r="AY97" s="487"/>
      <c r="AZ97" s="101">
        <v>0</v>
      </c>
      <c r="BA97" s="49"/>
      <c r="BB97" s="101"/>
      <c r="BC97" s="487"/>
      <c r="BD97" s="487"/>
      <c r="BE97" s="101">
        <v>0</v>
      </c>
      <c r="BF97" s="49"/>
      <c r="BG97" s="101"/>
      <c r="BH97" s="487"/>
      <c r="BI97" s="487"/>
      <c r="BJ97" s="101">
        <v>0</v>
      </c>
      <c r="BK97" s="49"/>
      <c r="BL97" s="101"/>
      <c r="BM97" s="487"/>
      <c r="BN97" s="487"/>
      <c r="BO97" s="101">
        <v>0</v>
      </c>
      <c r="BP97" s="49"/>
      <c r="BQ97" s="101"/>
      <c r="BR97" s="487"/>
      <c r="BS97" s="487"/>
      <c r="BT97" s="101">
        <f>SUM(L97:BO97)</f>
        <v>0</v>
      </c>
      <c r="BU97" s="49"/>
      <c r="BV97" s="101"/>
      <c r="BW97" s="398"/>
      <c r="BZ97" s="411"/>
      <c r="CA97" s="411"/>
    </row>
    <row r="98" spans="1:79" ht="12.75" hidden="1" customHeight="1" x14ac:dyDescent="0.2">
      <c r="A98" s="388"/>
      <c r="B98" s="388"/>
      <c r="D98" s="398" t="s">
        <v>383</v>
      </c>
      <c r="E98" s="487"/>
      <c r="F98" s="427"/>
      <c r="G98" s="496">
        <v>0</v>
      </c>
      <c r="H98" s="90"/>
      <c r="I98" s="101"/>
      <c r="J98" s="487"/>
      <c r="K98" s="497"/>
      <c r="L98" s="496">
        <v>0</v>
      </c>
      <c r="M98" s="90"/>
      <c r="N98" s="101"/>
      <c r="O98" s="487"/>
      <c r="P98" s="497"/>
      <c r="Q98" s="496">
        <v>0</v>
      </c>
      <c r="R98" s="90"/>
      <c r="S98" s="101"/>
      <c r="T98" s="487"/>
      <c r="U98" s="497"/>
      <c r="V98" s="496">
        <v>0</v>
      </c>
      <c r="W98" s="90"/>
      <c r="X98" s="101"/>
      <c r="Y98" s="487"/>
      <c r="Z98" s="497"/>
      <c r="AA98" s="496">
        <v>0</v>
      </c>
      <c r="AB98" s="90"/>
      <c r="AC98" s="101"/>
      <c r="AD98" s="487"/>
      <c r="AE98" s="497"/>
      <c r="AF98" s="496">
        <v>0</v>
      </c>
      <c r="AG98" s="90"/>
      <c r="AH98" s="101"/>
      <c r="AI98" s="487"/>
      <c r="AJ98" s="497"/>
      <c r="AK98" s="496">
        <v>0</v>
      </c>
      <c r="AL98" s="90"/>
      <c r="AM98" s="101"/>
      <c r="AN98" s="487"/>
      <c r="AO98" s="497"/>
      <c r="AP98" s="496">
        <v>0</v>
      </c>
      <c r="AQ98" s="90"/>
      <c r="AR98" s="101"/>
      <c r="AS98" s="487"/>
      <c r="AT98" s="497"/>
      <c r="AU98" s="496">
        <v>0</v>
      </c>
      <c r="AV98" s="90"/>
      <c r="AW98" s="101"/>
      <c r="AX98" s="487"/>
      <c r="AY98" s="497"/>
      <c r="AZ98" s="496">
        <v>0</v>
      </c>
      <c r="BA98" s="90"/>
      <c r="BB98" s="101"/>
      <c r="BC98" s="487"/>
      <c r="BD98" s="497"/>
      <c r="BE98" s="496">
        <v>0</v>
      </c>
      <c r="BF98" s="90"/>
      <c r="BG98" s="101"/>
      <c r="BH98" s="487"/>
      <c r="BI98" s="497"/>
      <c r="BJ98" s="496">
        <v>0</v>
      </c>
      <c r="BK98" s="90"/>
      <c r="BL98" s="101"/>
      <c r="BM98" s="487"/>
      <c r="BN98" s="497"/>
      <c r="BO98" s="496">
        <v>0</v>
      </c>
      <c r="BP98" s="90"/>
      <c r="BQ98" s="101"/>
      <c r="BR98" s="487"/>
      <c r="BS98" s="497"/>
      <c r="BT98" s="496">
        <f>SUM(L98:BO98)</f>
        <v>0</v>
      </c>
      <c r="BU98" s="90"/>
      <c r="BV98" s="101"/>
      <c r="BW98" s="398"/>
      <c r="BZ98" s="411"/>
      <c r="CA98" s="411"/>
    </row>
    <row r="99" spans="1:79" ht="12.75" hidden="1" customHeight="1" x14ac:dyDescent="0.2">
      <c r="A99" s="388"/>
      <c r="B99" s="388"/>
      <c r="D99" s="398"/>
      <c r="E99" s="487"/>
      <c r="F99" s="388"/>
      <c r="G99" s="101"/>
      <c r="H99" s="101"/>
      <c r="I99" s="101"/>
      <c r="J99" s="487"/>
      <c r="K99" s="101"/>
      <c r="L99" s="101"/>
      <c r="M99" s="101"/>
      <c r="N99" s="101"/>
      <c r="O99" s="487"/>
      <c r="P99" s="101"/>
      <c r="Q99" s="101"/>
      <c r="R99" s="101"/>
      <c r="S99" s="101"/>
      <c r="T99" s="487"/>
      <c r="U99" s="101"/>
      <c r="V99" s="101"/>
      <c r="W99" s="101"/>
      <c r="X99" s="101"/>
      <c r="Y99" s="487"/>
      <c r="Z99" s="101"/>
      <c r="AA99" s="101"/>
      <c r="AB99" s="101"/>
      <c r="AC99" s="101"/>
      <c r="AD99" s="487"/>
      <c r="AE99" s="101"/>
      <c r="AF99" s="101"/>
      <c r="AG99" s="101"/>
      <c r="AH99" s="101"/>
      <c r="AI99" s="487"/>
      <c r="AJ99" s="101"/>
      <c r="AK99" s="101"/>
      <c r="AL99" s="101"/>
      <c r="AM99" s="101"/>
      <c r="AN99" s="487"/>
      <c r="AO99" s="101"/>
      <c r="AP99" s="101"/>
      <c r="AQ99" s="101"/>
      <c r="AR99" s="101"/>
      <c r="AS99" s="487"/>
      <c r="AT99" s="101"/>
      <c r="AU99" s="101"/>
      <c r="AV99" s="101"/>
      <c r="AW99" s="101"/>
      <c r="AX99" s="487"/>
      <c r="AY99" s="101"/>
      <c r="AZ99" s="101"/>
      <c r="BA99" s="101"/>
      <c r="BB99" s="101"/>
      <c r="BC99" s="487"/>
      <c r="BD99" s="101"/>
      <c r="BE99" s="101"/>
      <c r="BF99" s="101"/>
      <c r="BG99" s="101"/>
      <c r="BH99" s="487"/>
      <c r="BI99" s="101"/>
      <c r="BJ99" s="101"/>
      <c r="BK99" s="101"/>
      <c r="BL99" s="101"/>
      <c r="BM99" s="487"/>
      <c r="BN99" s="101"/>
      <c r="BO99" s="101"/>
      <c r="BP99" s="101"/>
      <c r="BQ99" s="101"/>
      <c r="BR99" s="487"/>
      <c r="BS99" s="101"/>
      <c r="BT99" s="101"/>
      <c r="BU99" s="101"/>
      <c r="BV99" s="101"/>
      <c r="BW99" s="398"/>
      <c r="BZ99" s="411"/>
      <c r="CA99" s="411"/>
    </row>
    <row r="100" spans="1:79" ht="12.75" hidden="1" customHeight="1" x14ac:dyDescent="0.2">
      <c r="A100" s="388"/>
      <c r="B100" s="388"/>
      <c r="D100" s="398" t="s">
        <v>391</v>
      </c>
      <c r="E100" s="487"/>
      <c r="F100" s="388"/>
      <c r="G100" s="101">
        <f>SUM(G101:G103)</f>
        <v>0</v>
      </c>
      <c r="H100" s="101"/>
      <c r="I100" s="101"/>
      <c r="J100" s="487"/>
      <c r="K100" s="101"/>
      <c r="L100" s="101">
        <f>SUM(L101:L103)</f>
        <v>0</v>
      </c>
      <c r="M100" s="101"/>
      <c r="N100" s="101"/>
      <c r="O100" s="487"/>
      <c r="P100" s="101"/>
      <c r="Q100" s="101">
        <f>SUM(Q101:Q103)</f>
        <v>0</v>
      </c>
      <c r="R100" s="101"/>
      <c r="S100" s="101"/>
      <c r="T100" s="487"/>
      <c r="U100" s="101"/>
      <c r="V100" s="101">
        <f>SUM(V101:V103)</f>
        <v>0</v>
      </c>
      <c r="W100" s="101"/>
      <c r="X100" s="101"/>
      <c r="Y100" s="487"/>
      <c r="Z100" s="101"/>
      <c r="AA100" s="101">
        <f>SUM(AA101:AA103)</f>
        <v>0</v>
      </c>
      <c r="AB100" s="101"/>
      <c r="AC100" s="101"/>
      <c r="AD100" s="487"/>
      <c r="AE100" s="101"/>
      <c r="AF100" s="101">
        <f>SUM(AF101:AF103)</f>
        <v>0</v>
      </c>
      <c r="AG100" s="101"/>
      <c r="AH100" s="101"/>
      <c r="AI100" s="487"/>
      <c r="AJ100" s="101"/>
      <c r="AK100" s="101">
        <f>SUM(AK101:AK103)</f>
        <v>0</v>
      </c>
      <c r="AL100" s="101"/>
      <c r="AM100" s="101"/>
      <c r="AN100" s="487"/>
      <c r="AO100" s="101"/>
      <c r="AP100" s="101">
        <f>SUM(AP101:AP103)</f>
        <v>0</v>
      </c>
      <c r="AQ100" s="101"/>
      <c r="AR100" s="101"/>
      <c r="AS100" s="487"/>
      <c r="AT100" s="101"/>
      <c r="AU100" s="101">
        <f>SUM(AU101:AU103)</f>
        <v>0</v>
      </c>
      <c r="AV100" s="101"/>
      <c r="AW100" s="101"/>
      <c r="AX100" s="487"/>
      <c r="AY100" s="101"/>
      <c r="AZ100" s="101">
        <f>SUM(AZ101:AZ103)</f>
        <v>0</v>
      </c>
      <c r="BA100" s="101"/>
      <c r="BB100" s="101"/>
      <c r="BC100" s="487"/>
      <c r="BD100" s="101"/>
      <c r="BE100" s="101">
        <f>SUM(BE101:BE103)</f>
        <v>0</v>
      </c>
      <c r="BF100" s="101"/>
      <c r="BG100" s="101"/>
      <c r="BH100" s="487"/>
      <c r="BI100" s="101"/>
      <c r="BJ100" s="101">
        <f>SUM(BJ101:BJ103)</f>
        <v>0</v>
      </c>
      <c r="BK100" s="101"/>
      <c r="BL100" s="101"/>
      <c r="BM100" s="487"/>
      <c r="BN100" s="101"/>
      <c r="BO100" s="101">
        <f>SUM(BO101:BO103)</f>
        <v>0</v>
      </c>
      <c r="BP100" s="101"/>
      <c r="BQ100" s="101"/>
      <c r="BR100" s="487"/>
      <c r="BS100" s="101"/>
      <c r="BT100" s="101">
        <f>SUM(BT101:BT103)</f>
        <v>0</v>
      </c>
      <c r="BU100" s="101"/>
      <c r="BV100" s="101"/>
      <c r="BW100" s="398"/>
      <c r="BZ100" s="411"/>
      <c r="CA100" s="411"/>
    </row>
    <row r="101" spans="1:79" ht="12.75" hidden="1" customHeight="1" x14ac:dyDescent="0.2">
      <c r="A101" s="388"/>
      <c r="B101" s="388"/>
      <c r="D101" s="398" t="s">
        <v>373</v>
      </c>
      <c r="E101" s="487"/>
      <c r="F101" s="412"/>
      <c r="G101" s="485">
        <v>0</v>
      </c>
      <c r="H101" s="486"/>
      <c r="I101" s="101"/>
      <c r="J101" s="487"/>
      <c r="K101" s="488"/>
      <c r="L101" s="485">
        <v>0</v>
      </c>
      <c r="M101" s="486"/>
      <c r="N101" s="101"/>
      <c r="O101" s="487"/>
      <c r="P101" s="488"/>
      <c r="Q101" s="485">
        <v>0</v>
      </c>
      <c r="R101" s="486"/>
      <c r="S101" s="101"/>
      <c r="T101" s="487"/>
      <c r="U101" s="488"/>
      <c r="V101" s="485">
        <v>0</v>
      </c>
      <c r="W101" s="486"/>
      <c r="X101" s="101"/>
      <c r="Y101" s="487"/>
      <c r="Z101" s="488"/>
      <c r="AA101" s="485">
        <v>0</v>
      </c>
      <c r="AB101" s="486"/>
      <c r="AC101" s="101"/>
      <c r="AD101" s="487"/>
      <c r="AE101" s="488"/>
      <c r="AF101" s="485">
        <v>0</v>
      </c>
      <c r="AG101" s="486"/>
      <c r="AH101" s="101"/>
      <c r="AI101" s="487"/>
      <c r="AJ101" s="488"/>
      <c r="AK101" s="485">
        <v>0</v>
      </c>
      <c r="AL101" s="486"/>
      <c r="AM101" s="101"/>
      <c r="AN101" s="487"/>
      <c r="AO101" s="488"/>
      <c r="AP101" s="485">
        <v>0</v>
      </c>
      <c r="AQ101" s="486"/>
      <c r="AR101" s="101"/>
      <c r="AS101" s="487"/>
      <c r="AT101" s="488"/>
      <c r="AU101" s="485">
        <v>0</v>
      </c>
      <c r="AV101" s="486"/>
      <c r="AW101" s="101"/>
      <c r="AX101" s="487"/>
      <c r="AY101" s="488"/>
      <c r="AZ101" s="485">
        <v>0</v>
      </c>
      <c r="BA101" s="486"/>
      <c r="BB101" s="101"/>
      <c r="BC101" s="487"/>
      <c r="BD101" s="488"/>
      <c r="BE101" s="485">
        <v>0</v>
      </c>
      <c r="BF101" s="486"/>
      <c r="BG101" s="101"/>
      <c r="BH101" s="487"/>
      <c r="BI101" s="488"/>
      <c r="BJ101" s="485">
        <v>0</v>
      </c>
      <c r="BK101" s="486"/>
      <c r="BL101" s="101"/>
      <c r="BM101" s="487"/>
      <c r="BN101" s="488"/>
      <c r="BO101" s="485">
        <v>0</v>
      </c>
      <c r="BP101" s="486"/>
      <c r="BQ101" s="101"/>
      <c r="BR101" s="487"/>
      <c r="BS101" s="488"/>
      <c r="BT101" s="485">
        <f>SUM(L101:BO101)</f>
        <v>0</v>
      </c>
      <c r="BU101" s="486"/>
      <c r="BV101" s="101"/>
      <c r="BW101" s="398"/>
      <c r="BZ101" s="411"/>
      <c r="CA101" s="411"/>
    </row>
    <row r="102" spans="1:79" ht="12.75" hidden="1" customHeight="1" x14ac:dyDescent="0.2">
      <c r="A102" s="388"/>
      <c r="B102" s="388"/>
      <c r="D102" s="398" t="s">
        <v>375</v>
      </c>
      <c r="E102" s="487"/>
      <c r="F102" s="404"/>
      <c r="G102" s="101">
        <v>0</v>
      </c>
      <c r="H102" s="49"/>
      <c r="I102" s="101"/>
      <c r="J102" s="487"/>
      <c r="K102" s="487"/>
      <c r="L102" s="101">
        <v>0</v>
      </c>
      <c r="M102" s="49"/>
      <c r="N102" s="101"/>
      <c r="O102" s="487"/>
      <c r="P102" s="487"/>
      <c r="Q102" s="101">
        <v>0</v>
      </c>
      <c r="R102" s="49"/>
      <c r="S102" s="101"/>
      <c r="T102" s="487"/>
      <c r="U102" s="487"/>
      <c r="V102" s="101">
        <v>0</v>
      </c>
      <c r="W102" s="49"/>
      <c r="X102" s="101"/>
      <c r="Y102" s="487"/>
      <c r="Z102" s="487"/>
      <c r="AA102" s="101">
        <v>0</v>
      </c>
      <c r="AB102" s="49"/>
      <c r="AC102" s="101"/>
      <c r="AD102" s="487"/>
      <c r="AE102" s="487"/>
      <c r="AF102" s="101">
        <v>0</v>
      </c>
      <c r="AG102" s="49"/>
      <c r="AH102" s="101"/>
      <c r="AI102" s="487"/>
      <c r="AJ102" s="487"/>
      <c r="AK102" s="101">
        <v>0</v>
      </c>
      <c r="AL102" s="49"/>
      <c r="AM102" s="101"/>
      <c r="AN102" s="487"/>
      <c r="AO102" s="487"/>
      <c r="AP102" s="101">
        <v>0</v>
      </c>
      <c r="AQ102" s="49"/>
      <c r="AR102" s="101"/>
      <c r="AS102" s="487"/>
      <c r="AT102" s="487"/>
      <c r="AU102" s="101">
        <v>0</v>
      </c>
      <c r="AV102" s="49"/>
      <c r="AW102" s="101"/>
      <c r="AX102" s="487"/>
      <c r="AY102" s="487"/>
      <c r="AZ102" s="101">
        <v>0</v>
      </c>
      <c r="BA102" s="49"/>
      <c r="BB102" s="101"/>
      <c r="BC102" s="487"/>
      <c r="BD102" s="487"/>
      <c r="BE102" s="101">
        <v>0</v>
      </c>
      <c r="BF102" s="49"/>
      <c r="BG102" s="101"/>
      <c r="BH102" s="487"/>
      <c r="BI102" s="487"/>
      <c r="BJ102" s="101">
        <v>0</v>
      </c>
      <c r="BK102" s="49"/>
      <c r="BL102" s="101"/>
      <c r="BM102" s="487"/>
      <c r="BN102" s="487"/>
      <c r="BO102" s="101">
        <v>0</v>
      </c>
      <c r="BP102" s="49"/>
      <c r="BQ102" s="101"/>
      <c r="BR102" s="487"/>
      <c r="BS102" s="487"/>
      <c r="BT102" s="101">
        <f>SUM(L102:BO102)</f>
        <v>0</v>
      </c>
      <c r="BU102" s="49"/>
      <c r="BV102" s="101"/>
      <c r="BW102" s="398"/>
      <c r="BZ102" s="411"/>
      <c r="CA102" s="411"/>
    </row>
    <row r="103" spans="1:79" ht="12.75" hidden="1" customHeight="1" x14ac:dyDescent="0.2">
      <c r="A103" s="388"/>
      <c r="B103" s="388"/>
      <c r="D103" s="398" t="s">
        <v>383</v>
      </c>
      <c r="E103" s="487"/>
      <c r="F103" s="427"/>
      <c r="G103" s="496">
        <v>0</v>
      </c>
      <c r="H103" s="90"/>
      <c r="I103" s="101"/>
      <c r="J103" s="487"/>
      <c r="K103" s="497"/>
      <c r="L103" s="496">
        <v>0</v>
      </c>
      <c r="M103" s="90"/>
      <c r="N103" s="101"/>
      <c r="O103" s="487"/>
      <c r="P103" s="497"/>
      <c r="Q103" s="496">
        <v>0</v>
      </c>
      <c r="R103" s="90"/>
      <c r="S103" s="101"/>
      <c r="T103" s="487"/>
      <c r="U103" s="497"/>
      <c r="V103" s="496">
        <v>0</v>
      </c>
      <c r="W103" s="90"/>
      <c r="X103" s="101"/>
      <c r="Y103" s="487"/>
      <c r="Z103" s="497"/>
      <c r="AA103" s="496">
        <v>0</v>
      </c>
      <c r="AB103" s="90"/>
      <c r="AC103" s="101"/>
      <c r="AD103" s="487"/>
      <c r="AE103" s="497"/>
      <c r="AF103" s="496">
        <v>0</v>
      </c>
      <c r="AG103" s="90"/>
      <c r="AH103" s="101"/>
      <c r="AI103" s="487"/>
      <c r="AJ103" s="497"/>
      <c r="AK103" s="496">
        <v>0</v>
      </c>
      <c r="AL103" s="90"/>
      <c r="AM103" s="101"/>
      <c r="AN103" s="487"/>
      <c r="AO103" s="497"/>
      <c r="AP103" s="496">
        <v>0</v>
      </c>
      <c r="AQ103" s="90"/>
      <c r="AR103" s="101"/>
      <c r="AS103" s="487"/>
      <c r="AT103" s="497"/>
      <c r="AU103" s="496">
        <v>0</v>
      </c>
      <c r="AV103" s="90"/>
      <c r="AW103" s="101"/>
      <c r="AX103" s="487"/>
      <c r="AY103" s="497"/>
      <c r="AZ103" s="496">
        <v>0</v>
      </c>
      <c r="BA103" s="90"/>
      <c r="BB103" s="101"/>
      <c r="BC103" s="487"/>
      <c r="BD103" s="497"/>
      <c r="BE103" s="496">
        <v>0</v>
      </c>
      <c r="BF103" s="90"/>
      <c r="BG103" s="101"/>
      <c r="BH103" s="487"/>
      <c r="BI103" s="497"/>
      <c r="BJ103" s="496">
        <v>0</v>
      </c>
      <c r="BK103" s="90"/>
      <c r="BL103" s="101"/>
      <c r="BM103" s="487"/>
      <c r="BN103" s="497"/>
      <c r="BO103" s="496">
        <v>0</v>
      </c>
      <c r="BP103" s="90"/>
      <c r="BQ103" s="101"/>
      <c r="BR103" s="487"/>
      <c r="BS103" s="497"/>
      <c r="BT103" s="496">
        <f>SUM(L103:BO103)</f>
        <v>0</v>
      </c>
      <c r="BU103" s="90"/>
      <c r="BV103" s="101"/>
      <c r="BW103" s="398"/>
      <c r="BZ103" s="411"/>
      <c r="CA103" s="411"/>
    </row>
    <row r="104" spans="1:79" ht="12.75" hidden="1" customHeight="1" x14ac:dyDescent="0.2">
      <c r="A104" s="388"/>
      <c r="B104" s="388"/>
      <c r="D104" s="398"/>
      <c r="E104" s="487"/>
      <c r="F104" s="388"/>
      <c r="G104" s="101"/>
      <c r="H104" s="101"/>
      <c r="I104" s="101"/>
      <c r="J104" s="487"/>
      <c r="K104" s="101"/>
      <c r="L104" s="101"/>
      <c r="M104" s="101"/>
      <c r="N104" s="101"/>
      <c r="O104" s="487"/>
      <c r="P104" s="101"/>
      <c r="Q104" s="101"/>
      <c r="R104" s="101"/>
      <c r="S104" s="101"/>
      <c r="T104" s="487"/>
      <c r="U104" s="101"/>
      <c r="V104" s="101"/>
      <c r="W104" s="101"/>
      <c r="X104" s="101"/>
      <c r="Y104" s="487"/>
      <c r="Z104" s="101"/>
      <c r="AA104" s="101"/>
      <c r="AB104" s="101"/>
      <c r="AC104" s="101"/>
      <c r="AD104" s="487"/>
      <c r="AE104" s="101"/>
      <c r="AF104" s="101"/>
      <c r="AG104" s="101"/>
      <c r="AH104" s="101"/>
      <c r="AI104" s="487"/>
      <c r="AJ104" s="101"/>
      <c r="AK104" s="101"/>
      <c r="AL104" s="101"/>
      <c r="AM104" s="101"/>
      <c r="AN104" s="487"/>
      <c r="AO104" s="101"/>
      <c r="AP104" s="101"/>
      <c r="AQ104" s="101"/>
      <c r="AR104" s="101"/>
      <c r="AS104" s="487"/>
      <c r="AT104" s="101"/>
      <c r="AU104" s="101"/>
      <c r="AV104" s="101"/>
      <c r="AW104" s="101"/>
      <c r="AX104" s="487"/>
      <c r="AY104" s="101"/>
      <c r="AZ104" s="101"/>
      <c r="BA104" s="101"/>
      <c r="BB104" s="101"/>
      <c r="BC104" s="487"/>
      <c r="BD104" s="101"/>
      <c r="BE104" s="101"/>
      <c r="BF104" s="101"/>
      <c r="BG104" s="101"/>
      <c r="BH104" s="487"/>
      <c r="BI104" s="101"/>
      <c r="BJ104" s="101"/>
      <c r="BK104" s="101"/>
      <c r="BL104" s="101"/>
      <c r="BM104" s="487"/>
      <c r="BN104" s="101"/>
      <c r="BO104" s="101"/>
      <c r="BP104" s="101"/>
      <c r="BQ104" s="101"/>
      <c r="BR104" s="487"/>
      <c r="BS104" s="496"/>
      <c r="BT104" s="101"/>
      <c r="BU104" s="101"/>
      <c r="BV104" s="101"/>
      <c r="BW104" s="398"/>
      <c r="BZ104" s="411"/>
      <c r="CA104" s="411"/>
    </row>
    <row r="105" spans="1:79" ht="12.75" hidden="1" customHeight="1" x14ac:dyDescent="0.2">
      <c r="A105" s="388"/>
      <c r="B105" s="388"/>
      <c r="D105" s="398" t="s">
        <v>392</v>
      </c>
      <c r="E105" s="487"/>
      <c r="F105" s="388"/>
      <c r="G105" s="101">
        <f>SUM(G106:G108)</f>
        <v>0</v>
      </c>
      <c r="H105" s="101"/>
      <c r="I105" s="101"/>
      <c r="J105" s="487"/>
      <c r="K105" s="101"/>
      <c r="L105" s="101">
        <f>SUM(L106:L108)</f>
        <v>0</v>
      </c>
      <c r="M105" s="101"/>
      <c r="N105" s="101"/>
      <c r="O105" s="487"/>
      <c r="P105" s="101"/>
      <c r="Q105" s="101">
        <f>SUM(Q106:Q108)</f>
        <v>0</v>
      </c>
      <c r="R105" s="101"/>
      <c r="S105" s="101"/>
      <c r="T105" s="487"/>
      <c r="U105" s="101"/>
      <c r="V105" s="101">
        <f>SUM(V106:V108)</f>
        <v>0</v>
      </c>
      <c r="W105" s="101"/>
      <c r="X105" s="101"/>
      <c r="Y105" s="487"/>
      <c r="Z105" s="101"/>
      <c r="AA105" s="101">
        <f>SUM(AA106:AA108)</f>
        <v>0</v>
      </c>
      <c r="AB105" s="101"/>
      <c r="AC105" s="101"/>
      <c r="AD105" s="487"/>
      <c r="AE105" s="101"/>
      <c r="AF105" s="101">
        <f>SUM(AF106:AF108)</f>
        <v>0</v>
      </c>
      <c r="AG105" s="101"/>
      <c r="AH105" s="101"/>
      <c r="AI105" s="487"/>
      <c r="AJ105" s="101"/>
      <c r="AK105" s="101">
        <f>SUM(AK106:AK108)</f>
        <v>0</v>
      </c>
      <c r="AL105" s="101"/>
      <c r="AM105" s="101"/>
      <c r="AN105" s="487"/>
      <c r="AO105" s="101"/>
      <c r="AP105" s="101">
        <f>SUM(AP106:AP108)</f>
        <v>0</v>
      </c>
      <c r="AQ105" s="101"/>
      <c r="AR105" s="101"/>
      <c r="AS105" s="487"/>
      <c r="AT105" s="101"/>
      <c r="AU105" s="101">
        <f>SUM(AU106:AU108)</f>
        <v>0</v>
      </c>
      <c r="AV105" s="101"/>
      <c r="AW105" s="101"/>
      <c r="AX105" s="487"/>
      <c r="AY105" s="101"/>
      <c r="AZ105" s="101">
        <f>SUM(AZ106:AZ108)</f>
        <v>0</v>
      </c>
      <c r="BA105" s="101"/>
      <c r="BB105" s="101"/>
      <c r="BC105" s="487"/>
      <c r="BD105" s="101"/>
      <c r="BE105" s="101">
        <f>SUM(BE106:BE108)</f>
        <v>0</v>
      </c>
      <c r="BF105" s="101"/>
      <c r="BG105" s="101"/>
      <c r="BH105" s="487"/>
      <c r="BI105" s="101"/>
      <c r="BJ105" s="101">
        <f>SUM(BJ106:BJ108)</f>
        <v>0</v>
      </c>
      <c r="BK105" s="101"/>
      <c r="BL105" s="101"/>
      <c r="BM105" s="487"/>
      <c r="BN105" s="101"/>
      <c r="BO105" s="101">
        <f>SUM(BO106:BO108)</f>
        <v>0</v>
      </c>
      <c r="BP105" s="101"/>
      <c r="BQ105" s="101"/>
      <c r="BR105" s="487"/>
      <c r="BS105" s="496"/>
      <c r="BT105" s="496">
        <f>SUM(BT106:BT108)</f>
        <v>0</v>
      </c>
      <c r="BU105" s="101"/>
      <c r="BV105" s="101"/>
      <c r="BW105" s="398"/>
      <c r="BZ105" s="411"/>
      <c r="CA105" s="411"/>
    </row>
    <row r="106" spans="1:79" ht="12.75" hidden="1" customHeight="1" x14ac:dyDescent="0.2">
      <c r="A106" s="388"/>
      <c r="B106" s="388"/>
      <c r="D106" s="398" t="s">
        <v>373</v>
      </c>
      <c r="E106" s="487"/>
      <c r="F106" s="412"/>
      <c r="G106" s="485">
        <v>0</v>
      </c>
      <c r="H106" s="486"/>
      <c r="I106" s="101"/>
      <c r="J106" s="487"/>
      <c r="K106" s="488"/>
      <c r="L106" s="485">
        <v>0</v>
      </c>
      <c r="M106" s="486"/>
      <c r="N106" s="101"/>
      <c r="O106" s="487"/>
      <c r="P106" s="488"/>
      <c r="Q106" s="485">
        <v>0</v>
      </c>
      <c r="R106" s="486"/>
      <c r="S106" s="101"/>
      <c r="T106" s="487"/>
      <c r="U106" s="488"/>
      <c r="V106" s="485">
        <v>0</v>
      </c>
      <c r="W106" s="486"/>
      <c r="X106" s="101"/>
      <c r="Y106" s="487"/>
      <c r="Z106" s="488"/>
      <c r="AA106" s="485">
        <v>0</v>
      </c>
      <c r="AB106" s="486"/>
      <c r="AC106" s="101"/>
      <c r="AD106" s="487"/>
      <c r="AE106" s="488"/>
      <c r="AF106" s="485">
        <v>0</v>
      </c>
      <c r="AG106" s="486"/>
      <c r="AH106" s="101"/>
      <c r="AI106" s="487"/>
      <c r="AJ106" s="488"/>
      <c r="AK106" s="485">
        <v>0</v>
      </c>
      <c r="AL106" s="486"/>
      <c r="AM106" s="101"/>
      <c r="AN106" s="487"/>
      <c r="AO106" s="488"/>
      <c r="AP106" s="485">
        <v>0</v>
      </c>
      <c r="AQ106" s="486"/>
      <c r="AR106" s="101"/>
      <c r="AS106" s="487"/>
      <c r="AT106" s="488"/>
      <c r="AU106" s="485">
        <v>0</v>
      </c>
      <c r="AV106" s="486"/>
      <c r="AW106" s="101"/>
      <c r="AX106" s="487"/>
      <c r="AY106" s="488"/>
      <c r="AZ106" s="485">
        <v>0</v>
      </c>
      <c r="BA106" s="486"/>
      <c r="BB106" s="101"/>
      <c r="BC106" s="487"/>
      <c r="BD106" s="488"/>
      <c r="BE106" s="485">
        <v>0</v>
      </c>
      <c r="BF106" s="486"/>
      <c r="BG106" s="101"/>
      <c r="BH106" s="487"/>
      <c r="BI106" s="488"/>
      <c r="BJ106" s="485">
        <v>0</v>
      </c>
      <c r="BK106" s="486"/>
      <c r="BL106" s="101"/>
      <c r="BM106" s="487"/>
      <c r="BN106" s="488"/>
      <c r="BO106" s="485">
        <v>0</v>
      </c>
      <c r="BP106" s="486"/>
      <c r="BQ106" s="101"/>
      <c r="BR106" s="487"/>
      <c r="BS106" s="487"/>
      <c r="BT106" s="101">
        <f>SUM(L106:BO106)</f>
        <v>0</v>
      </c>
      <c r="BU106" s="486"/>
      <c r="BV106" s="101"/>
      <c r="BW106" s="398"/>
      <c r="BZ106" s="411"/>
      <c r="CA106" s="411"/>
    </row>
    <row r="107" spans="1:79" ht="12.75" hidden="1" customHeight="1" x14ac:dyDescent="0.2">
      <c r="A107" s="388"/>
      <c r="B107" s="388"/>
      <c r="D107" s="398" t="s">
        <v>375</v>
      </c>
      <c r="E107" s="487"/>
      <c r="F107" s="404"/>
      <c r="G107" s="101">
        <v>0</v>
      </c>
      <c r="H107" s="49"/>
      <c r="I107" s="101"/>
      <c r="J107" s="487"/>
      <c r="K107" s="487"/>
      <c r="L107" s="101">
        <v>0</v>
      </c>
      <c r="M107" s="49"/>
      <c r="N107" s="101"/>
      <c r="O107" s="487"/>
      <c r="P107" s="487"/>
      <c r="Q107" s="101">
        <v>0</v>
      </c>
      <c r="R107" s="49"/>
      <c r="S107" s="101"/>
      <c r="T107" s="487"/>
      <c r="U107" s="487"/>
      <c r="V107" s="101">
        <v>0</v>
      </c>
      <c r="W107" s="49"/>
      <c r="X107" s="101"/>
      <c r="Y107" s="487"/>
      <c r="Z107" s="487"/>
      <c r="AA107" s="101">
        <v>0</v>
      </c>
      <c r="AB107" s="49"/>
      <c r="AC107" s="101"/>
      <c r="AD107" s="487"/>
      <c r="AE107" s="487"/>
      <c r="AF107" s="101">
        <v>0</v>
      </c>
      <c r="AG107" s="49"/>
      <c r="AH107" s="101"/>
      <c r="AI107" s="487"/>
      <c r="AJ107" s="487"/>
      <c r="AK107" s="101">
        <v>0</v>
      </c>
      <c r="AL107" s="49"/>
      <c r="AM107" s="101"/>
      <c r="AN107" s="487"/>
      <c r="AO107" s="487"/>
      <c r="AP107" s="101">
        <v>0</v>
      </c>
      <c r="AQ107" s="49"/>
      <c r="AR107" s="101"/>
      <c r="AS107" s="487"/>
      <c r="AT107" s="487"/>
      <c r="AU107" s="101">
        <v>0</v>
      </c>
      <c r="AV107" s="49"/>
      <c r="AW107" s="101"/>
      <c r="AX107" s="487"/>
      <c r="AY107" s="487"/>
      <c r="AZ107" s="101">
        <v>0</v>
      </c>
      <c r="BA107" s="49"/>
      <c r="BB107" s="101"/>
      <c r="BC107" s="487"/>
      <c r="BD107" s="487"/>
      <c r="BE107" s="101">
        <v>0</v>
      </c>
      <c r="BF107" s="49"/>
      <c r="BG107" s="101"/>
      <c r="BH107" s="487"/>
      <c r="BI107" s="487"/>
      <c r="BJ107" s="101">
        <v>0</v>
      </c>
      <c r="BK107" s="49"/>
      <c r="BL107" s="101"/>
      <c r="BM107" s="487"/>
      <c r="BN107" s="487"/>
      <c r="BO107" s="101">
        <v>0</v>
      </c>
      <c r="BP107" s="49"/>
      <c r="BQ107" s="101"/>
      <c r="BR107" s="487"/>
      <c r="BS107" s="487"/>
      <c r="BT107" s="101">
        <f>SUM(L107:BO107)</f>
        <v>0</v>
      </c>
      <c r="BU107" s="49"/>
      <c r="BV107" s="101"/>
      <c r="BW107" s="398"/>
      <c r="BZ107" s="411"/>
      <c r="CA107" s="411"/>
    </row>
    <row r="108" spans="1:79" ht="12.75" hidden="1" customHeight="1" x14ac:dyDescent="0.2">
      <c r="A108" s="388"/>
      <c r="B108" s="388"/>
      <c r="D108" s="398" t="s">
        <v>383</v>
      </c>
      <c r="E108" s="487"/>
      <c r="F108" s="427"/>
      <c r="G108" s="496">
        <v>0</v>
      </c>
      <c r="H108" s="90"/>
      <c r="I108" s="101"/>
      <c r="J108" s="487"/>
      <c r="K108" s="497"/>
      <c r="L108" s="496">
        <v>0</v>
      </c>
      <c r="M108" s="90"/>
      <c r="N108" s="101"/>
      <c r="O108" s="487"/>
      <c r="P108" s="497"/>
      <c r="Q108" s="496">
        <v>0</v>
      </c>
      <c r="R108" s="90"/>
      <c r="S108" s="101"/>
      <c r="T108" s="487"/>
      <c r="U108" s="497"/>
      <c r="V108" s="496">
        <v>0</v>
      </c>
      <c r="W108" s="90"/>
      <c r="X108" s="101"/>
      <c r="Y108" s="487"/>
      <c r="Z108" s="497"/>
      <c r="AA108" s="496">
        <v>0</v>
      </c>
      <c r="AB108" s="90"/>
      <c r="AC108" s="101"/>
      <c r="AD108" s="487"/>
      <c r="AE108" s="497"/>
      <c r="AF108" s="496">
        <v>0</v>
      </c>
      <c r="AG108" s="90"/>
      <c r="AH108" s="101"/>
      <c r="AI108" s="487"/>
      <c r="AJ108" s="497"/>
      <c r="AK108" s="496">
        <v>0</v>
      </c>
      <c r="AL108" s="90"/>
      <c r="AM108" s="101"/>
      <c r="AN108" s="487"/>
      <c r="AO108" s="497"/>
      <c r="AP108" s="496">
        <v>0</v>
      </c>
      <c r="AQ108" s="90"/>
      <c r="AR108" s="101"/>
      <c r="AS108" s="487"/>
      <c r="AT108" s="497"/>
      <c r="AU108" s="496">
        <v>0</v>
      </c>
      <c r="AV108" s="90"/>
      <c r="AW108" s="101"/>
      <c r="AX108" s="487"/>
      <c r="AY108" s="497"/>
      <c r="AZ108" s="496">
        <v>0</v>
      </c>
      <c r="BA108" s="90"/>
      <c r="BB108" s="101"/>
      <c r="BC108" s="487"/>
      <c r="BD108" s="497"/>
      <c r="BE108" s="496">
        <v>0</v>
      </c>
      <c r="BF108" s="90"/>
      <c r="BG108" s="101"/>
      <c r="BH108" s="487"/>
      <c r="BI108" s="497"/>
      <c r="BJ108" s="496">
        <v>0</v>
      </c>
      <c r="BK108" s="90"/>
      <c r="BL108" s="101"/>
      <c r="BM108" s="487"/>
      <c r="BN108" s="497"/>
      <c r="BO108" s="496">
        <v>0</v>
      </c>
      <c r="BP108" s="90"/>
      <c r="BQ108" s="101"/>
      <c r="BR108" s="487"/>
      <c r="BS108" s="497"/>
      <c r="BT108" s="496">
        <f>SUM(L108:BO108)</f>
        <v>0</v>
      </c>
      <c r="BU108" s="90"/>
      <c r="BV108" s="101"/>
      <c r="BW108" s="398"/>
      <c r="BZ108" s="411"/>
      <c r="CA108" s="411"/>
    </row>
    <row r="109" spans="1:79" ht="12.75" hidden="1" customHeight="1" x14ac:dyDescent="0.2">
      <c r="A109" s="388"/>
      <c r="B109" s="388"/>
      <c r="D109" s="398"/>
      <c r="E109" s="487"/>
      <c r="F109" s="388"/>
      <c r="G109" s="101"/>
      <c r="H109" s="101"/>
      <c r="I109" s="101"/>
      <c r="J109" s="487"/>
      <c r="K109" s="101"/>
      <c r="L109" s="101"/>
      <c r="M109" s="101"/>
      <c r="N109" s="101"/>
      <c r="O109" s="487"/>
      <c r="P109" s="101"/>
      <c r="Q109" s="101"/>
      <c r="R109" s="101"/>
      <c r="S109" s="101"/>
      <c r="T109" s="487"/>
      <c r="U109" s="101"/>
      <c r="V109" s="101"/>
      <c r="W109" s="101"/>
      <c r="X109" s="101"/>
      <c r="Y109" s="487"/>
      <c r="Z109" s="101"/>
      <c r="AA109" s="101"/>
      <c r="AB109" s="101"/>
      <c r="AC109" s="101"/>
      <c r="AD109" s="487"/>
      <c r="AE109" s="101"/>
      <c r="AF109" s="101"/>
      <c r="AG109" s="101"/>
      <c r="AH109" s="101"/>
      <c r="AI109" s="487"/>
      <c r="AJ109" s="101"/>
      <c r="AK109" s="101"/>
      <c r="AL109" s="101"/>
      <c r="AM109" s="101"/>
      <c r="AN109" s="487"/>
      <c r="AO109" s="101"/>
      <c r="AP109" s="101"/>
      <c r="AQ109" s="101"/>
      <c r="AR109" s="101"/>
      <c r="AS109" s="487"/>
      <c r="AT109" s="101"/>
      <c r="AU109" s="101"/>
      <c r="AV109" s="101"/>
      <c r="AW109" s="101"/>
      <c r="AX109" s="487"/>
      <c r="AY109" s="101"/>
      <c r="AZ109" s="101"/>
      <c r="BA109" s="101"/>
      <c r="BB109" s="101"/>
      <c r="BC109" s="487"/>
      <c r="BD109" s="101"/>
      <c r="BE109" s="101"/>
      <c r="BF109" s="101"/>
      <c r="BG109" s="101"/>
      <c r="BH109" s="487"/>
      <c r="BI109" s="101"/>
      <c r="BJ109" s="101"/>
      <c r="BK109" s="101"/>
      <c r="BL109" s="101"/>
      <c r="BM109" s="487"/>
      <c r="BN109" s="101"/>
      <c r="BO109" s="101"/>
      <c r="BP109" s="101"/>
      <c r="BQ109" s="101"/>
      <c r="BR109" s="487"/>
      <c r="BS109" s="101"/>
      <c r="BT109" s="101"/>
      <c r="BU109" s="101"/>
      <c r="BV109" s="101"/>
      <c r="BW109" s="398"/>
      <c r="BZ109" s="411"/>
      <c r="CA109" s="411"/>
    </row>
    <row r="110" spans="1:79" ht="12.75" hidden="1" customHeight="1" x14ac:dyDescent="0.2">
      <c r="A110" s="388"/>
      <c r="B110" s="388"/>
      <c r="D110" s="398" t="s">
        <v>393</v>
      </c>
      <c r="E110" s="487"/>
      <c r="F110" s="388"/>
      <c r="G110" s="101">
        <f>SUM(G111:G113)</f>
        <v>0</v>
      </c>
      <c r="H110" s="101"/>
      <c r="I110" s="101"/>
      <c r="J110" s="487"/>
      <c r="K110" s="101"/>
      <c r="L110" s="101">
        <f>SUM(L111:L113)</f>
        <v>0</v>
      </c>
      <c r="M110" s="101"/>
      <c r="N110" s="101"/>
      <c r="O110" s="487"/>
      <c r="P110" s="101"/>
      <c r="Q110" s="101">
        <f>SUM(Q111:Q113)</f>
        <v>0</v>
      </c>
      <c r="R110" s="101"/>
      <c r="S110" s="101"/>
      <c r="T110" s="487"/>
      <c r="U110" s="101"/>
      <c r="V110" s="101">
        <f>SUM(V111:V113)</f>
        <v>0</v>
      </c>
      <c r="W110" s="101"/>
      <c r="X110" s="101"/>
      <c r="Y110" s="487"/>
      <c r="Z110" s="101"/>
      <c r="AA110" s="101">
        <f>SUM(AA111:AA113)</f>
        <v>0</v>
      </c>
      <c r="AB110" s="101"/>
      <c r="AC110" s="101"/>
      <c r="AD110" s="487"/>
      <c r="AE110" s="101"/>
      <c r="AF110" s="101">
        <f>SUM(AF111:AF113)</f>
        <v>0</v>
      </c>
      <c r="AG110" s="101"/>
      <c r="AH110" s="101"/>
      <c r="AI110" s="487"/>
      <c r="AJ110" s="101"/>
      <c r="AK110" s="101">
        <f>SUM(AK111:AK113)</f>
        <v>0</v>
      </c>
      <c r="AL110" s="101"/>
      <c r="AM110" s="101"/>
      <c r="AN110" s="487"/>
      <c r="AO110" s="101"/>
      <c r="AP110" s="101">
        <f>SUM(AP111:AP113)</f>
        <v>0</v>
      </c>
      <c r="AQ110" s="101"/>
      <c r="AR110" s="101"/>
      <c r="AS110" s="487"/>
      <c r="AT110" s="101"/>
      <c r="AU110" s="101">
        <f>SUM(AU111:AU113)</f>
        <v>0</v>
      </c>
      <c r="AV110" s="101"/>
      <c r="AW110" s="101"/>
      <c r="AX110" s="487"/>
      <c r="AY110" s="101"/>
      <c r="AZ110" s="101">
        <f>SUM(AZ111:AZ113)</f>
        <v>0</v>
      </c>
      <c r="BA110" s="101"/>
      <c r="BB110" s="101"/>
      <c r="BC110" s="487"/>
      <c r="BD110" s="101"/>
      <c r="BE110" s="101">
        <f>SUM(BE111:BE113)</f>
        <v>0</v>
      </c>
      <c r="BF110" s="101"/>
      <c r="BG110" s="101"/>
      <c r="BH110" s="487"/>
      <c r="BI110" s="101"/>
      <c r="BJ110" s="101">
        <f>SUM(BJ111:BJ113)</f>
        <v>0</v>
      </c>
      <c r="BK110" s="101"/>
      <c r="BL110" s="101"/>
      <c r="BM110" s="487"/>
      <c r="BN110" s="101"/>
      <c r="BO110" s="101">
        <f>SUM(BO111:BO113)</f>
        <v>0</v>
      </c>
      <c r="BP110" s="101"/>
      <c r="BQ110" s="101"/>
      <c r="BR110" s="487"/>
      <c r="BS110" s="101"/>
      <c r="BT110" s="101">
        <f>SUM(BT111:BT113)</f>
        <v>0</v>
      </c>
      <c r="BU110" s="101"/>
      <c r="BV110" s="101"/>
      <c r="BW110" s="398"/>
      <c r="BZ110" s="411"/>
      <c r="CA110" s="411"/>
    </row>
    <row r="111" spans="1:79" ht="12.75" hidden="1" customHeight="1" x14ac:dyDescent="0.2">
      <c r="A111" s="388"/>
      <c r="B111" s="388"/>
      <c r="D111" s="398" t="s">
        <v>373</v>
      </c>
      <c r="E111" s="487"/>
      <c r="F111" s="412"/>
      <c r="G111" s="485">
        <v>0</v>
      </c>
      <c r="H111" s="486"/>
      <c r="I111" s="101"/>
      <c r="J111" s="487"/>
      <c r="K111" s="488"/>
      <c r="L111" s="485">
        <v>0</v>
      </c>
      <c r="M111" s="486"/>
      <c r="N111" s="101"/>
      <c r="O111" s="487"/>
      <c r="P111" s="488"/>
      <c r="Q111" s="485">
        <v>0</v>
      </c>
      <c r="R111" s="486"/>
      <c r="S111" s="101"/>
      <c r="T111" s="487"/>
      <c r="U111" s="488"/>
      <c r="V111" s="485">
        <v>0</v>
      </c>
      <c r="W111" s="486"/>
      <c r="X111" s="101"/>
      <c r="Y111" s="487"/>
      <c r="Z111" s="488"/>
      <c r="AA111" s="485">
        <v>0</v>
      </c>
      <c r="AB111" s="486"/>
      <c r="AC111" s="101"/>
      <c r="AD111" s="487"/>
      <c r="AE111" s="488"/>
      <c r="AF111" s="485">
        <v>0</v>
      </c>
      <c r="AG111" s="486"/>
      <c r="AH111" s="101"/>
      <c r="AI111" s="487"/>
      <c r="AJ111" s="488"/>
      <c r="AK111" s="485">
        <v>0</v>
      </c>
      <c r="AL111" s="486"/>
      <c r="AM111" s="101"/>
      <c r="AN111" s="487"/>
      <c r="AO111" s="488"/>
      <c r="AP111" s="485">
        <v>0</v>
      </c>
      <c r="AQ111" s="486"/>
      <c r="AR111" s="101"/>
      <c r="AS111" s="487"/>
      <c r="AT111" s="488"/>
      <c r="AU111" s="485">
        <v>0</v>
      </c>
      <c r="AV111" s="486"/>
      <c r="AW111" s="101"/>
      <c r="AX111" s="487"/>
      <c r="AY111" s="488"/>
      <c r="AZ111" s="485">
        <v>0</v>
      </c>
      <c r="BA111" s="486"/>
      <c r="BB111" s="101"/>
      <c r="BC111" s="487"/>
      <c r="BD111" s="488"/>
      <c r="BE111" s="485">
        <v>0</v>
      </c>
      <c r="BF111" s="486"/>
      <c r="BG111" s="101"/>
      <c r="BH111" s="487"/>
      <c r="BI111" s="488"/>
      <c r="BJ111" s="485">
        <v>0</v>
      </c>
      <c r="BK111" s="486"/>
      <c r="BL111" s="101"/>
      <c r="BM111" s="487"/>
      <c r="BN111" s="488"/>
      <c r="BO111" s="485">
        <v>0</v>
      </c>
      <c r="BP111" s="486"/>
      <c r="BQ111" s="101"/>
      <c r="BR111" s="487"/>
      <c r="BS111" s="488"/>
      <c r="BT111" s="485">
        <f>SUM(L111:BO111)</f>
        <v>0</v>
      </c>
      <c r="BU111" s="486"/>
      <c r="BV111" s="101"/>
      <c r="BW111" s="398"/>
      <c r="BZ111" s="411"/>
      <c r="CA111" s="411"/>
    </row>
    <row r="112" spans="1:79" ht="12.75" hidden="1" customHeight="1" x14ac:dyDescent="0.2">
      <c r="A112" s="388"/>
      <c r="B112" s="388"/>
      <c r="D112" s="398" t="s">
        <v>375</v>
      </c>
      <c r="E112" s="487"/>
      <c r="F112" s="404"/>
      <c r="G112" s="101">
        <v>0</v>
      </c>
      <c r="H112" s="49"/>
      <c r="I112" s="101"/>
      <c r="J112" s="487"/>
      <c r="K112" s="487"/>
      <c r="L112" s="101">
        <v>0</v>
      </c>
      <c r="M112" s="49"/>
      <c r="N112" s="101"/>
      <c r="O112" s="487"/>
      <c r="P112" s="487"/>
      <c r="Q112" s="101">
        <v>0</v>
      </c>
      <c r="R112" s="49"/>
      <c r="S112" s="101"/>
      <c r="T112" s="487"/>
      <c r="U112" s="487"/>
      <c r="V112" s="101">
        <v>0</v>
      </c>
      <c r="W112" s="49"/>
      <c r="X112" s="101"/>
      <c r="Y112" s="487"/>
      <c r="Z112" s="487"/>
      <c r="AA112" s="101">
        <v>0</v>
      </c>
      <c r="AB112" s="49"/>
      <c r="AC112" s="101"/>
      <c r="AD112" s="487"/>
      <c r="AE112" s="487"/>
      <c r="AF112" s="101">
        <v>0</v>
      </c>
      <c r="AG112" s="49"/>
      <c r="AH112" s="101"/>
      <c r="AI112" s="487"/>
      <c r="AJ112" s="487"/>
      <c r="AK112" s="101">
        <v>0</v>
      </c>
      <c r="AL112" s="49"/>
      <c r="AM112" s="101"/>
      <c r="AN112" s="487"/>
      <c r="AO112" s="487"/>
      <c r="AP112" s="101">
        <v>0</v>
      </c>
      <c r="AQ112" s="49"/>
      <c r="AR112" s="101"/>
      <c r="AS112" s="487"/>
      <c r="AT112" s="487"/>
      <c r="AU112" s="101">
        <v>0</v>
      </c>
      <c r="AV112" s="49"/>
      <c r="AW112" s="101"/>
      <c r="AX112" s="487"/>
      <c r="AY112" s="487"/>
      <c r="AZ112" s="101">
        <v>0</v>
      </c>
      <c r="BA112" s="49"/>
      <c r="BB112" s="101"/>
      <c r="BC112" s="487"/>
      <c r="BD112" s="487"/>
      <c r="BE112" s="101">
        <v>0</v>
      </c>
      <c r="BF112" s="49"/>
      <c r="BG112" s="101"/>
      <c r="BH112" s="487"/>
      <c r="BI112" s="487"/>
      <c r="BJ112" s="101">
        <v>0</v>
      </c>
      <c r="BK112" s="49"/>
      <c r="BL112" s="101"/>
      <c r="BM112" s="487"/>
      <c r="BN112" s="487"/>
      <c r="BO112" s="101">
        <v>0</v>
      </c>
      <c r="BP112" s="49"/>
      <c r="BQ112" s="101"/>
      <c r="BR112" s="487"/>
      <c r="BS112" s="487"/>
      <c r="BT112" s="101">
        <f>SUM(L112:BO112)</f>
        <v>0</v>
      </c>
      <c r="BU112" s="49"/>
      <c r="BV112" s="101"/>
      <c r="BW112" s="398"/>
      <c r="BZ112" s="411"/>
      <c r="CA112" s="411"/>
    </row>
    <row r="113" spans="1:79" ht="12.75" hidden="1" customHeight="1" x14ac:dyDescent="0.2">
      <c r="A113" s="388"/>
      <c r="B113" s="388"/>
      <c r="D113" s="398" t="s">
        <v>383</v>
      </c>
      <c r="E113" s="487"/>
      <c r="F113" s="427"/>
      <c r="G113" s="496">
        <v>0</v>
      </c>
      <c r="H113" s="90"/>
      <c r="I113" s="101"/>
      <c r="J113" s="487"/>
      <c r="K113" s="497"/>
      <c r="L113" s="496">
        <v>0</v>
      </c>
      <c r="M113" s="90"/>
      <c r="N113" s="101"/>
      <c r="O113" s="487"/>
      <c r="P113" s="497"/>
      <c r="Q113" s="496">
        <v>0</v>
      </c>
      <c r="R113" s="90"/>
      <c r="S113" s="101"/>
      <c r="T113" s="487"/>
      <c r="U113" s="497"/>
      <c r="V113" s="496">
        <v>0</v>
      </c>
      <c r="W113" s="90"/>
      <c r="X113" s="101"/>
      <c r="Y113" s="487"/>
      <c r="Z113" s="497"/>
      <c r="AA113" s="496">
        <v>0</v>
      </c>
      <c r="AB113" s="90"/>
      <c r="AC113" s="101"/>
      <c r="AD113" s="487"/>
      <c r="AE113" s="497"/>
      <c r="AF113" s="496">
        <v>0</v>
      </c>
      <c r="AG113" s="90"/>
      <c r="AH113" s="101"/>
      <c r="AI113" s="487"/>
      <c r="AJ113" s="497"/>
      <c r="AK113" s="496">
        <v>0</v>
      </c>
      <c r="AL113" s="90"/>
      <c r="AM113" s="101"/>
      <c r="AN113" s="487"/>
      <c r="AO113" s="497"/>
      <c r="AP113" s="496">
        <v>0</v>
      </c>
      <c r="AQ113" s="90"/>
      <c r="AR113" s="101"/>
      <c r="AS113" s="487"/>
      <c r="AT113" s="497"/>
      <c r="AU113" s="496">
        <v>0</v>
      </c>
      <c r="AV113" s="90"/>
      <c r="AW113" s="101"/>
      <c r="AX113" s="487"/>
      <c r="AY113" s="497"/>
      <c r="AZ113" s="496">
        <v>0</v>
      </c>
      <c r="BA113" s="90"/>
      <c r="BB113" s="101"/>
      <c r="BC113" s="487"/>
      <c r="BD113" s="497"/>
      <c r="BE113" s="496">
        <v>0</v>
      </c>
      <c r="BF113" s="90"/>
      <c r="BG113" s="101"/>
      <c r="BH113" s="487"/>
      <c r="BI113" s="497"/>
      <c r="BJ113" s="496">
        <v>0</v>
      </c>
      <c r="BK113" s="90"/>
      <c r="BL113" s="101"/>
      <c r="BM113" s="487"/>
      <c r="BN113" s="497"/>
      <c r="BO113" s="496">
        <v>0</v>
      </c>
      <c r="BP113" s="90"/>
      <c r="BQ113" s="101"/>
      <c r="BR113" s="487"/>
      <c r="BS113" s="497"/>
      <c r="BT113" s="496">
        <f>SUM(L113:BO113)</f>
        <v>0</v>
      </c>
      <c r="BU113" s="90"/>
      <c r="BV113" s="101"/>
      <c r="BW113" s="398"/>
      <c r="BZ113" s="411"/>
      <c r="CA113" s="411"/>
    </row>
    <row r="114" spans="1:79" ht="12.75" hidden="1" customHeight="1" x14ac:dyDescent="0.2">
      <c r="A114" s="388"/>
      <c r="B114" s="388"/>
      <c r="D114" s="398"/>
      <c r="E114" s="487"/>
      <c r="F114" s="388"/>
      <c r="G114" s="101"/>
      <c r="H114" s="101"/>
      <c r="I114" s="101"/>
      <c r="J114" s="487"/>
      <c r="K114" s="101"/>
      <c r="L114" s="101"/>
      <c r="M114" s="101"/>
      <c r="N114" s="101"/>
      <c r="O114" s="487"/>
      <c r="P114" s="101"/>
      <c r="Q114" s="101"/>
      <c r="R114" s="101"/>
      <c r="S114" s="101"/>
      <c r="T114" s="487"/>
      <c r="U114" s="101"/>
      <c r="V114" s="101"/>
      <c r="W114" s="101"/>
      <c r="X114" s="101"/>
      <c r="Y114" s="487"/>
      <c r="Z114" s="101"/>
      <c r="AA114" s="101"/>
      <c r="AB114" s="101"/>
      <c r="AC114" s="101"/>
      <c r="AD114" s="487"/>
      <c r="AE114" s="101"/>
      <c r="AF114" s="101"/>
      <c r="AG114" s="101"/>
      <c r="AH114" s="101"/>
      <c r="AI114" s="487"/>
      <c r="AJ114" s="101"/>
      <c r="AK114" s="101"/>
      <c r="AL114" s="101"/>
      <c r="AM114" s="101"/>
      <c r="AN114" s="487"/>
      <c r="AO114" s="101"/>
      <c r="AP114" s="101"/>
      <c r="AQ114" s="101"/>
      <c r="AR114" s="101"/>
      <c r="AS114" s="487"/>
      <c r="AT114" s="101"/>
      <c r="AU114" s="101"/>
      <c r="AV114" s="101"/>
      <c r="AW114" s="101"/>
      <c r="AX114" s="487"/>
      <c r="AY114" s="101"/>
      <c r="AZ114" s="101"/>
      <c r="BA114" s="101"/>
      <c r="BB114" s="101"/>
      <c r="BC114" s="487"/>
      <c r="BD114" s="101"/>
      <c r="BE114" s="101"/>
      <c r="BF114" s="101"/>
      <c r="BG114" s="101"/>
      <c r="BH114" s="487"/>
      <c r="BI114" s="101"/>
      <c r="BJ114" s="101"/>
      <c r="BK114" s="101"/>
      <c r="BL114" s="101"/>
      <c r="BM114" s="487"/>
      <c r="BN114" s="101"/>
      <c r="BO114" s="101"/>
      <c r="BP114" s="101"/>
      <c r="BQ114" s="101"/>
      <c r="BR114" s="487"/>
      <c r="BS114" s="101"/>
      <c r="BT114" s="101"/>
      <c r="BU114" s="101"/>
      <c r="BV114" s="101"/>
      <c r="BW114" s="398"/>
      <c r="BZ114" s="411"/>
      <c r="CA114" s="411"/>
    </row>
    <row r="115" spans="1:79" ht="12.75" hidden="1" customHeight="1" x14ac:dyDescent="0.2">
      <c r="A115" s="388"/>
      <c r="B115" s="388"/>
      <c r="D115" s="398" t="s">
        <v>394</v>
      </c>
      <c r="E115" s="487"/>
      <c r="F115" s="388"/>
      <c r="G115" s="101">
        <f>SUM(G116:G118)</f>
        <v>0</v>
      </c>
      <c r="H115" s="101"/>
      <c r="I115" s="101"/>
      <c r="J115" s="487"/>
      <c r="K115" s="101"/>
      <c r="L115" s="101">
        <f>SUM(L116:L118)</f>
        <v>0</v>
      </c>
      <c r="M115" s="101"/>
      <c r="N115" s="101"/>
      <c r="O115" s="487"/>
      <c r="P115" s="101"/>
      <c r="Q115" s="101">
        <f>SUM(Q116:Q118)</f>
        <v>0</v>
      </c>
      <c r="R115" s="101"/>
      <c r="S115" s="101"/>
      <c r="T115" s="487"/>
      <c r="U115" s="101"/>
      <c r="V115" s="101">
        <f>SUM(V116:V118)</f>
        <v>0</v>
      </c>
      <c r="W115" s="101"/>
      <c r="X115" s="101"/>
      <c r="Y115" s="487"/>
      <c r="Z115" s="101"/>
      <c r="AA115" s="101">
        <f>SUM(AA116:AA118)</f>
        <v>0</v>
      </c>
      <c r="AB115" s="101"/>
      <c r="AC115" s="101"/>
      <c r="AD115" s="487"/>
      <c r="AE115" s="101"/>
      <c r="AF115" s="101">
        <f>SUM(AF116:AF118)</f>
        <v>0</v>
      </c>
      <c r="AG115" s="101"/>
      <c r="AH115" s="101"/>
      <c r="AI115" s="487"/>
      <c r="AJ115" s="101"/>
      <c r="AK115" s="101">
        <f>SUM(AK116:AK118)</f>
        <v>0</v>
      </c>
      <c r="AL115" s="101"/>
      <c r="AM115" s="101"/>
      <c r="AN115" s="487"/>
      <c r="AO115" s="101"/>
      <c r="AP115" s="101">
        <f>SUM(AP116:AP118)</f>
        <v>0</v>
      </c>
      <c r="AQ115" s="101"/>
      <c r="AR115" s="101"/>
      <c r="AS115" s="487"/>
      <c r="AT115" s="101"/>
      <c r="AU115" s="101">
        <f>SUM(AU116:AU118)</f>
        <v>0</v>
      </c>
      <c r="AV115" s="101"/>
      <c r="AW115" s="101"/>
      <c r="AX115" s="487"/>
      <c r="AY115" s="101"/>
      <c r="AZ115" s="101">
        <f>SUM(AZ116:AZ118)</f>
        <v>0</v>
      </c>
      <c r="BA115" s="101"/>
      <c r="BB115" s="101"/>
      <c r="BC115" s="487"/>
      <c r="BD115" s="101"/>
      <c r="BE115" s="101">
        <f>SUM(BE116:BE118)</f>
        <v>0</v>
      </c>
      <c r="BF115" s="101"/>
      <c r="BG115" s="101"/>
      <c r="BH115" s="487"/>
      <c r="BI115" s="101"/>
      <c r="BJ115" s="101">
        <f>SUM(BJ116:BJ118)</f>
        <v>0</v>
      </c>
      <c r="BK115" s="101"/>
      <c r="BL115" s="101"/>
      <c r="BM115" s="487"/>
      <c r="BN115" s="101"/>
      <c r="BO115" s="101">
        <f>SUM(BO116:BO118)</f>
        <v>0</v>
      </c>
      <c r="BP115" s="101"/>
      <c r="BQ115" s="101"/>
      <c r="BR115" s="487"/>
      <c r="BS115" s="101"/>
      <c r="BT115" s="101">
        <f>SUM(BT116:BT118)</f>
        <v>0</v>
      </c>
      <c r="BU115" s="101"/>
      <c r="BV115" s="101"/>
      <c r="BW115" s="398"/>
      <c r="BZ115" s="411"/>
      <c r="CA115" s="411"/>
    </row>
    <row r="116" spans="1:79" ht="12.75" hidden="1" customHeight="1" x14ac:dyDescent="0.2">
      <c r="A116" s="388"/>
      <c r="B116" s="388"/>
      <c r="D116" s="398" t="s">
        <v>373</v>
      </c>
      <c r="E116" s="487"/>
      <c r="F116" s="412"/>
      <c r="G116" s="485">
        <v>0</v>
      </c>
      <c r="H116" s="486"/>
      <c r="I116" s="101"/>
      <c r="J116" s="487"/>
      <c r="K116" s="488"/>
      <c r="L116" s="485">
        <v>0</v>
      </c>
      <c r="M116" s="486"/>
      <c r="N116" s="101"/>
      <c r="O116" s="487"/>
      <c r="P116" s="488"/>
      <c r="Q116" s="485">
        <v>0</v>
      </c>
      <c r="R116" s="486"/>
      <c r="S116" s="101"/>
      <c r="T116" s="487"/>
      <c r="U116" s="488"/>
      <c r="V116" s="485">
        <v>0</v>
      </c>
      <c r="W116" s="486"/>
      <c r="X116" s="101"/>
      <c r="Y116" s="487"/>
      <c r="Z116" s="488"/>
      <c r="AA116" s="485">
        <v>0</v>
      </c>
      <c r="AB116" s="486"/>
      <c r="AC116" s="101"/>
      <c r="AD116" s="487"/>
      <c r="AE116" s="488"/>
      <c r="AF116" s="485">
        <v>0</v>
      </c>
      <c r="AG116" s="486"/>
      <c r="AH116" s="101"/>
      <c r="AI116" s="487"/>
      <c r="AJ116" s="488"/>
      <c r="AK116" s="485">
        <v>0</v>
      </c>
      <c r="AL116" s="486"/>
      <c r="AM116" s="101"/>
      <c r="AN116" s="487"/>
      <c r="AO116" s="488"/>
      <c r="AP116" s="485">
        <v>0</v>
      </c>
      <c r="AQ116" s="486"/>
      <c r="AR116" s="101"/>
      <c r="AS116" s="487"/>
      <c r="AT116" s="488"/>
      <c r="AU116" s="485">
        <v>0</v>
      </c>
      <c r="AV116" s="486"/>
      <c r="AW116" s="101"/>
      <c r="AX116" s="487"/>
      <c r="AY116" s="488"/>
      <c r="AZ116" s="485">
        <v>0</v>
      </c>
      <c r="BA116" s="486"/>
      <c r="BB116" s="101"/>
      <c r="BC116" s="487"/>
      <c r="BD116" s="488"/>
      <c r="BE116" s="485">
        <v>0</v>
      </c>
      <c r="BF116" s="486"/>
      <c r="BG116" s="101"/>
      <c r="BH116" s="487"/>
      <c r="BI116" s="488"/>
      <c r="BJ116" s="485">
        <v>0</v>
      </c>
      <c r="BK116" s="486"/>
      <c r="BL116" s="101"/>
      <c r="BM116" s="487"/>
      <c r="BN116" s="488"/>
      <c r="BO116" s="485">
        <v>0</v>
      </c>
      <c r="BP116" s="486"/>
      <c r="BQ116" s="101"/>
      <c r="BR116" s="487"/>
      <c r="BS116" s="488"/>
      <c r="BT116" s="485">
        <f>SUM(L116:BO116)</f>
        <v>0</v>
      </c>
      <c r="BU116" s="486"/>
      <c r="BV116" s="101"/>
      <c r="BW116" s="398"/>
      <c r="BZ116" s="411"/>
      <c r="CA116" s="411"/>
    </row>
    <row r="117" spans="1:79" ht="12.75" hidden="1" customHeight="1" x14ac:dyDescent="0.2">
      <c r="A117" s="388"/>
      <c r="B117" s="388"/>
      <c r="D117" s="398" t="s">
        <v>375</v>
      </c>
      <c r="E117" s="487"/>
      <c r="F117" s="404"/>
      <c r="G117" s="101">
        <v>0</v>
      </c>
      <c r="H117" s="49"/>
      <c r="I117" s="101"/>
      <c r="J117" s="487"/>
      <c r="K117" s="487"/>
      <c r="L117" s="101">
        <v>0</v>
      </c>
      <c r="M117" s="49"/>
      <c r="N117" s="101"/>
      <c r="O117" s="487"/>
      <c r="P117" s="487"/>
      <c r="Q117" s="101">
        <v>0</v>
      </c>
      <c r="R117" s="49"/>
      <c r="S117" s="101"/>
      <c r="T117" s="487"/>
      <c r="U117" s="487"/>
      <c r="V117" s="101">
        <v>0</v>
      </c>
      <c r="W117" s="49"/>
      <c r="X117" s="101"/>
      <c r="Y117" s="487"/>
      <c r="Z117" s="487"/>
      <c r="AA117" s="101">
        <v>0</v>
      </c>
      <c r="AB117" s="49"/>
      <c r="AC117" s="101"/>
      <c r="AD117" s="487"/>
      <c r="AE117" s="487"/>
      <c r="AF117" s="101">
        <v>0</v>
      </c>
      <c r="AG117" s="49"/>
      <c r="AH117" s="101"/>
      <c r="AI117" s="487"/>
      <c r="AJ117" s="487"/>
      <c r="AK117" s="101">
        <v>0</v>
      </c>
      <c r="AL117" s="49"/>
      <c r="AM117" s="101"/>
      <c r="AN117" s="487"/>
      <c r="AO117" s="487"/>
      <c r="AP117" s="101">
        <v>0</v>
      </c>
      <c r="AQ117" s="49"/>
      <c r="AR117" s="101"/>
      <c r="AS117" s="487"/>
      <c r="AT117" s="487"/>
      <c r="AU117" s="101">
        <v>0</v>
      </c>
      <c r="AV117" s="49"/>
      <c r="AW117" s="101"/>
      <c r="AX117" s="487"/>
      <c r="AY117" s="487"/>
      <c r="AZ117" s="101">
        <v>0</v>
      </c>
      <c r="BA117" s="49"/>
      <c r="BB117" s="101"/>
      <c r="BC117" s="487"/>
      <c r="BD117" s="487"/>
      <c r="BE117" s="101">
        <v>0</v>
      </c>
      <c r="BF117" s="49"/>
      <c r="BG117" s="101"/>
      <c r="BH117" s="487"/>
      <c r="BI117" s="487"/>
      <c r="BJ117" s="101">
        <v>0</v>
      </c>
      <c r="BK117" s="49"/>
      <c r="BL117" s="101"/>
      <c r="BM117" s="487"/>
      <c r="BN117" s="487"/>
      <c r="BO117" s="101">
        <v>0</v>
      </c>
      <c r="BP117" s="49"/>
      <c r="BQ117" s="101"/>
      <c r="BR117" s="487"/>
      <c r="BS117" s="487"/>
      <c r="BT117" s="101">
        <f>SUM(L117:BO117)</f>
        <v>0</v>
      </c>
      <c r="BU117" s="49"/>
      <c r="BV117" s="101"/>
      <c r="BW117" s="398"/>
      <c r="BZ117" s="411"/>
      <c r="CA117" s="411"/>
    </row>
    <row r="118" spans="1:79" ht="12.75" hidden="1" customHeight="1" x14ac:dyDescent="0.2">
      <c r="A118" s="388"/>
      <c r="B118" s="388"/>
      <c r="D118" s="398" t="s">
        <v>383</v>
      </c>
      <c r="E118" s="487"/>
      <c r="F118" s="427"/>
      <c r="G118" s="496">
        <v>0</v>
      </c>
      <c r="H118" s="90"/>
      <c r="I118" s="101"/>
      <c r="J118" s="487"/>
      <c r="K118" s="497"/>
      <c r="L118" s="496">
        <v>0</v>
      </c>
      <c r="M118" s="90"/>
      <c r="N118" s="101"/>
      <c r="O118" s="487"/>
      <c r="P118" s="497"/>
      <c r="Q118" s="496">
        <v>0</v>
      </c>
      <c r="R118" s="90"/>
      <c r="S118" s="101"/>
      <c r="T118" s="487"/>
      <c r="U118" s="497"/>
      <c r="V118" s="496">
        <v>0</v>
      </c>
      <c r="W118" s="90"/>
      <c r="X118" s="101"/>
      <c r="Y118" s="487"/>
      <c r="Z118" s="497"/>
      <c r="AA118" s="496">
        <v>0</v>
      </c>
      <c r="AB118" s="90"/>
      <c r="AC118" s="101"/>
      <c r="AD118" s="487"/>
      <c r="AE118" s="497"/>
      <c r="AF118" s="496">
        <v>0</v>
      </c>
      <c r="AG118" s="90"/>
      <c r="AH118" s="101"/>
      <c r="AI118" s="487"/>
      <c r="AJ118" s="497"/>
      <c r="AK118" s="496">
        <v>0</v>
      </c>
      <c r="AL118" s="90"/>
      <c r="AM118" s="101"/>
      <c r="AN118" s="487"/>
      <c r="AO118" s="497"/>
      <c r="AP118" s="496">
        <v>0</v>
      </c>
      <c r="AQ118" s="90"/>
      <c r="AR118" s="101"/>
      <c r="AS118" s="487"/>
      <c r="AT118" s="497"/>
      <c r="AU118" s="496">
        <v>0</v>
      </c>
      <c r="AV118" s="90"/>
      <c r="AW118" s="101"/>
      <c r="AX118" s="487"/>
      <c r="AY118" s="497"/>
      <c r="AZ118" s="496">
        <v>0</v>
      </c>
      <c r="BA118" s="90"/>
      <c r="BB118" s="101"/>
      <c r="BC118" s="487"/>
      <c r="BD118" s="497"/>
      <c r="BE118" s="496">
        <v>0</v>
      </c>
      <c r="BF118" s="90"/>
      <c r="BG118" s="101"/>
      <c r="BH118" s="487"/>
      <c r="BI118" s="497"/>
      <c r="BJ118" s="496">
        <v>0</v>
      </c>
      <c r="BK118" s="90"/>
      <c r="BL118" s="101"/>
      <c r="BM118" s="487"/>
      <c r="BN118" s="497"/>
      <c r="BO118" s="496">
        <v>0</v>
      </c>
      <c r="BP118" s="90"/>
      <c r="BQ118" s="101"/>
      <c r="BR118" s="487"/>
      <c r="BS118" s="497"/>
      <c r="BT118" s="496">
        <f>SUM(L118:BO118)</f>
        <v>0</v>
      </c>
      <c r="BU118" s="90"/>
      <c r="BV118" s="101"/>
      <c r="BW118" s="398"/>
      <c r="BZ118" s="411"/>
      <c r="CA118" s="411"/>
    </row>
    <row r="119" spans="1:79" ht="12.75" hidden="1" customHeight="1" x14ac:dyDescent="0.2">
      <c r="A119" s="388"/>
      <c r="B119" s="388"/>
      <c r="D119" s="398"/>
      <c r="E119" s="487"/>
      <c r="F119" s="388"/>
      <c r="G119" s="101"/>
      <c r="H119" s="101"/>
      <c r="I119" s="101"/>
      <c r="J119" s="487"/>
      <c r="K119" s="101"/>
      <c r="L119" s="101"/>
      <c r="M119" s="101"/>
      <c r="N119" s="101"/>
      <c r="O119" s="487"/>
      <c r="P119" s="101"/>
      <c r="Q119" s="101"/>
      <c r="R119" s="101"/>
      <c r="S119" s="101"/>
      <c r="T119" s="487"/>
      <c r="U119" s="101"/>
      <c r="V119" s="101"/>
      <c r="W119" s="101"/>
      <c r="X119" s="101"/>
      <c r="Y119" s="487"/>
      <c r="Z119" s="101"/>
      <c r="AA119" s="101"/>
      <c r="AB119" s="101"/>
      <c r="AC119" s="101"/>
      <c r="AD119" s="487"/>
      <c r="AE119" s="101"/>
      <c r="AF119" s="101"/>
      <c r="AG119" s="101"/>
      <c r="AH119" s="101"/>
      <c r="AI119" s="487"/>
      <c r="AJ119" s="101"/>
      <c r="AK119" s="101"/>
      <c r="AL119" s="101"/>
      <c r="AM119" s="101"/>
      <c r="AN119" s="487"/>
      <c r="AO119" s="101"/>
      <c r="AP119" s="101"/>
      <c r="AQ119" s="101"/>
      <c r="AR119" s="101"/>
      <c r="AS119" s="487"/>
      <c r="AT119" s="101"/>
      <c r="AU119" s="101"/>
      <c r="AV119" s="101"/>
      <c r="AW119" s="101"/>
      <c r="AX119" s="487"/>
      <c r="AY119" s="101"/>
      <c r="AZ119" s="101"/>
      <c r="BA119" s="101"/>
      <c r="BB119" s="101"/>
      <c r="BC119" s="487"/>
      <c r="BD119" s="101"/>
      <c r="BE119" s="101"/>
      <c r="BF119" s="101"/>
      <c r="BG119" s="101"/>
      <c r="BH119" s="487"/>
      <c r="BI119" s="101"/>
      <c r="BJ119" s="101"/>
      <c r="BK119" s="101"/>
      <c r="BL119" s="101"/>
      <c r="BM119" s="487"/>
      <c r="BN119" s="101"/>
      <c r="BO119" s="101"/>
      <c r="BP119" s="101"/>
      <c r="BQ119" s="101"/>
      <c r="BR119" s="487"/>
      <c r="BS119" s="101"/>
      <c r="BT119" s="101"/>
      <c r="BU119" s="101"/>
      <c r="BV119" s="101"/>
      <c r="BW119" s="398"/>
      <c r="BZ119" s="411"/>
      <c r="CA119" s="411"/>
    </row>
    <row r="120" spans="1:79" ht="12.75" x14ac:dyDescent="0.2">
      <c r="A120" s="388"/>
      <c r="B120" s="388"/>
      <c r="D120" s="398" t="s">
        <v>395</v>
      </c>
      <c r="E120" s="487"/>
      <c r="F120" s="388"/>
      <c r="G120" s="101">
        <f>SUM(G121:G123)</f>
        <v>0</v>
      </c>
      <c r="H120" s="101"/>
      <c r="I120" s="101"/>
      <c r="J120" s="487"/>
      <c r="K120" s="101"/>
      <c r="L120" s="101">
        <f>SUM(L121:L123)</f>
        <v>0</v>
      </c>
      <c r="M120" s="101"/>
      <c r="N120" s="101"/>
      <c r="O120" s="487"/>
      <c r="P120" s="101"/>
      <c r="Q120" s="101">
        <f>SUM(Q121:Q123)</f>
        <v>0</v>
      </c>
      <c r="R120" s="101"/>
      <c r="S120" s="101"/>
      <c r="T120" s="487"/>
      <c r="U120" s="101"/>
      <c r="V120" s="101">
        <f>SUM(V121:V123)</f>
        <v>0</v>
      </c>
      <c r="W120" s="101"/>
      <c r="X120" s="101"/>
      <c r="Y120" s="487"/>
      <c r="Z120" s="101"/>
      <c r="AA120" s="101">
        <f>SUM(AA121:AA123)</f>
        <v>0</v>
      </c>
      <c r="AB120" s="101"/>
      <c r="AC120" s="101"/>
      <c r="AD120" s="487"/>
      <c r="AE120" s="101"/>
      <c r="AF120" s="101">
        <f>SUM(AF121:AF123)</f>
        <v>0</v>
      </c>
      <c r="AG120" s="101"/>
      <c r="AH120" s="101"/>
      <c r="AI120" s="487"/>
      <c r="AJ120" s="101"/>
      <c r="AK120" s="101">
        <f>SUM(AK121:AK123)</f>
        <v>6601000</v>
      </c>
      <c r="AL120" s="101"/>
      <c r="AM120" s="101"/>
      <c r="AN120" s="487"/>
      <c r="AO120" s="101"/>
      <c r="AP120" s="101">
        <f>SUM(AP121:AP123)</f>
        <v>8322000</v>
      </c>
      <c r="AQ120" s="101"/>
      <c r="AR120" s="101"/>
      <c r="AS120" s="487"/>
      <c r="AT120" s="101"/>
      <c r="AU120" s="101">
        <f>SUM(AU121:AU123)</f>
        <v>4398000</v>
      </c>
      <c r="AV120" s="101"/>
      <c r="AW120" s="101"/>
      <c r="AX120" s="487"/>
      <c r="AY120" s="101"/>
      <c r="AZ120" s="101">
        <f>SUM(AZ121:AZ123)</f>
        <v>0</v>
      </c>
      <c r="BA120" s="101"/>
      <c r="BB120" s="101"/>
      <c r="BC120" s="487"/>
      <c r="BD120" s="101"/>
      <c r="BE120" s="101">
        <f>SUM(BE121:BE123)</f>
        <v>0</v>
      </c>
      <c r="BF120" s="101"/>
      <c r="BG120" s="101"/>
      <c r="BH120" s="487"/>
      <c r="BI120" s="101"/>
      <c r="BJ120" s="101">
        <f>SUM(BJ121:BJ123)</f>
        <v>6597000</v>
      </c>
      <c r="BK120" s="101"/>
      <c r="BL120" s="101"/>
      <c r="BM120" s="487"/>
      <c r="BN120" s="101"/>
      <c r="BO120" s="101">
        <f>SUM(BO121:BO123)</f>
        <v>3297000</v>
      </c>
      <c r="BP120" s="101"/>
      <c r="BQ120" s="101"/>
      <c r="BR120" s="487"/>
      <c r="BS120" s="101"/>
      <c r="BT120" s="101">
        <f>SUM(BT121:BT123)</f>
        <v>29215000</v>
      </c>
      <c r="BU120" s="101"/>
      <c r="BV120" s="101"/>
      <c r="BW120" s="398"/>
      <c r="BZ120" s="411"/>
      <c r="CA120" s="411"/>
    </row>
    <row r="121" spans="1:79" ht="12.75" x14ac:dyDescent="0.2">
      <c r="A121" s="388"/>
      <c r="B121" s="388"/>
      <c r="D121" s="398" t="s">
        <v>373</v>
      </c>
      <c r="E121" s="487"/>
      <c r="F121" s="412"/>
      <c r="G121" s="485">
        <v>0</v>
      </c>
      <c r="H121" s="486"/>
      <c r="I121" s="101"/>
      <c r="J121" s="487"/>
      <c r="K121" s="488"/>
      <c r="L121" s="485">
        <v>0</v>
      </c>
      <c r="M121" s="486"/>
      <c r="N121" s="101"/>
      <c r="O121" s="487"/>
      <c r="P121" s="488"/>
      <c r="Q121" s="485">
        <v>0</v>
      </c>
      <c r="R121" s="486"/>
      <c r="S121" s="101"/>
      <c r="T121" s="487"/>
      <c r="U121" s="488"/>
      <c r="V121" s="485">
        <v>0</v>
      </c>
      <c r="W121" s="486"/>
      <c r="X121" s="101"/>
      <c r="Y121" s="487"/>
      <c r="Z121" s="488"/>
      <c r="AA121" s="485">
        <v>0</v>
      </c>
      <c r="AB121" s="486"/>
      <c r="AC121" s="101"/>
      <c r="AD121" s="487"/>
      <c r="AE121" s="488"/>
      <c r="AF121" s="485">
        <v>0</v>
      </c>
      <c r="AG121" s="486"/>
      <c r="AH121" s="101"/>
      <c r="AI121" s="487"/>
      <c r="AJ121" s="488"/>
      <c r="AK121" s="485">
        <f>6601000-1192748</f>
        <v>5408252</v>
      </c>
      <c r="AL121" s="486"/>
      <c r="AM121" s="101"/>
      <c r="AN121" s="487"/>
      <c r="AO121" s="488"/>
      <c r="AP121" s="485">
        <f>8322000-1699015</f>
        <v>6622985</v>
      </c>
      <c r="AQ121" s="486"/>
      <c r="AR121" s="101"/>
      <c r="AS121" s="487"/>
      <c r="AT121" s="488"/>
      <c r="AU121" s="485">
        <f>4398000-878082</f>
        <v>3519918</v>
      </c>
      <c r="AV121" s="486"/>
      <c r="AW121" s="101"/>
      <c r="AX121" s="487"/>
      <c r="AY121" s="488"/>
      <c r="AZ121" s="485">
        <v>0</v>
      </c>
      <c r="BA121" s="486"/>
      <c r="BB121" s="101"/>
      <c r="BC121" s="487"/>
      <c r="BD121" s="488"/>
      <c r="BE121" s="485">
        <v>0</v>
      </c>
      <c r="BF121" s="486"/>
      <c r="BG121" s="101"/>
      <c r="BH121" s="487"/>
      <c r="BI121" s="488"/>
      <c r="BJ121" s="485">
        <f>6597000-842888</f>
        <v>5754112</v>
      </c>
      <c r="BK121" s="486"/>
      <c r="BL121" s="101"/>
      <c r="BM121" s="487"/>
      <c r="BN121" s="488"/>
      <c r="BO121" s="485">
        <f>3297000-558707</f>
        <v>2738293</v>
      </c>
      <c r="BP121" s="486"/>
      <c r="BQ121" s="101"/>
      <c r="BR121" s="487"/>
      <c r="BS121" s="488"/>
      <c r="BT121" s="485">
        <f>SUM(L121:BO121)</f>
        <v>24043560</v>
      </c>
      <c r="BU121" s="486"/>
      <c r="BV121" s="101"/>
      <c r="BW121" s="398"/>
      <c r="BZ121" s="411"/>
      <c r="CA121" s="411"/>
    </row>
    <row r="122" spans="1:79" ht="12.75" x14ac:dyDescent="0.2">
      <c r="A122" s="388"/>
      <c r="B122" s="388"/>
      <c r="D122" s="398" t="s">
        <v>375</v>
      </c>
      <c r="E122" s="487"/>
      <c r="F122" s="404"/>
      <c r="G122" s="101">
        <v>0</v>
      </c>
      <c r="H122" s="49"/>
      <c r="I122" s="101"/>
      <c r="J122" s="487"/>
      <c r="K122" s="487"/>
      <c r="L122" s="101">
        <v>0</v>
      </c>
      <c r="M122" s="49"/>
      <c r="N122" s="101"/>
      <c r="O122" s="487"/>
      <c r="P122" s="487"/>
      <c r="Q122" s="101">
        <v>0</v>
      </c>
      <c r="R122" s="49"/>
      <c r="S122" s="101"/>
      <c r="T122" s="487"/>
      <c r="U122" s="487"/>
      <c r="V122" s="101">
        <v>0</v>
      </c>
      <c r="W122" s="49"/>
      <c r="X122" s="101"/>
      <c r="Y122" s="487"/>
      <c r="Z122" s="487"/>
      <c r="AA122" s="101">
        <v>0</v>
      </c>
      <c r="AB122" s="49"/>
      <c r="AC122" s="101"/>
      <c r="AD122" s="487"/>
      <c r="AE122" s="487"/>
      <c r="AF122" s="101">
        <v>0</v>
      </c>
      <c r="AG122" s="49"/>
      <c r="AH122" s="101"/>
      <c r="AI122" s="487"/>
      <c r="AJ122" s="487"/>
      <c r="AK122" s="101">
        <v>1192748</v>
      </c>
      <c r="AL122" s="49"/>
      <c r="AM122" s="101"/>
      <c r="AN122" s="487"/>
      <c r="AO122" s="487"/>
      <c r="AP122" s="101">
        <v>1699015</v>
      </c>
      <c r="AQ122" s="49"/>
      <c r="AR122" s="101"/>
      <c r="AS122" s="487"/>
      <c r="AT122" s="487"/>
      <c r="AU122" s="101">
        <v>878082</v>
      </c>
      <c r="AV122" s="49"/>
      <c r="AW122" s="101"/>
      <c r="AX122" s="487"/>
      <c r="AY122" s="487"/>
      <c r="AZ122" s="101">
        <v>0</v>
      </c>
      <c r="BA122" s="49"/>
      <c r="BB122" s="101"/>
      <c r="BC122" s="487"/>
      <c r="BD122" s="487"/>
      <c r="BE122" s="101">
        <v>0</v>
      </c>
      <c r="BF122" s="49"/>
      <c r="BG122" s="101"/>
      <c r="BH122" s="487"/>
      <c r="BI122" s="487"/>
      <c r="BJ122" s="101">
        <v>842888</v>
      </c>
      <c r="BK122" s="49"/>
      <c r="BL122" s="101"/>
      <c r="BM122" s="487"/>
      <c r="BN122" s="487"/>
      <c r="BO122" s="101">
        <v>558707</v>
      </c>
      <c r="BP122" s="49"/>
      <c r="BQ122" s="101"/>
      <c r="BR122" s="487"/>
      <c r="BS122" s="487"/>
      <c r="BT122" s="101">
        <f>SUM(L122:BO122)</f>
        <v>5171440</v>
      </c>
      <c r="BU122" s="49"/>
      <c r="BV122" s="101"/>
      <c r="BW122" s="398"/>
      <c r="BZ122" s="411"/>
      <c r="CA122" s="411"/>
    </row>
    <row r="123" spans="1:79" ht="12.75" x14ac:dyDescent="0.2">
      <c r="A123" s="388"/>
      <c r="B123" s="388"/>
      <c r="D123" s="398" t="s">
        <v>383</v>
      </c>
      <c r="E123" s="487"/>
      <c r="F123" s="427"/>
      <c r="G123" s="496">
        <v>0</v>
      </c>
      <c r="H123" s="90"/>
      <c r="I123" s="101"/>
      <c r="J123" s="487"/>
      <c r="K123" s="497"/>
      <c r="L123" s="496">
        <v>0</v>
      </c>
      <c r="M123" s="90"/>
      <c r="N123" s="101"/>
      <c r="O123" s="487"/>
      <c r="P123" s="497"/>
      <c r="Q123" s="496">
        <v>0</v>
      </c>
      <c r="R123" s="90"/>
      <c r="S123" s="101"/>
      <c r="T123" s="487"/>
      <c r="U123" s="497"/>
      <c r="V123" s="496">
        <v>0</v>
      </c>
      <c r="W123" s="90"/>
      <c r="X123" s="101"/>
      <c r="Y123" s="487"/>
      <c r="Z123" s="497"/>
      <c r="AA123" s="496">
        <v>0</v>
      </c>
      <c r="AB123" s="90"/>
      <c r="AC123" s="101"/>
      <c r="AD123" s="487"/>
      <c r="AE123" s="497"/>
      <c r="AF123" s="496">
        <v>0</v>
      </c>
      <c r="AG123" s="90"/>
      <c r="AH123" s="101"/>
      <c r="AI123" s="487"/>
      <c r="AJ123" s="497"/>
      <c r="AK123" s="496">
        <v>0</v>
      </c>
      <c r="AL123" s="90"/>
      <c r="AM123" s="101"/>
      <c r="AN123" s="487"/>
      <c r="AO123" s="497"/>
      <c r="AP123" s="496">
        <v>0</v>
      </c>
      <c r="AQ123" s="90"/>
      <c r="AR123" s="101"/>
      <c r="AS123" s="487"/>
      <c r="AT123" s="497"/>
      <c r="AU123" s="496">
        <v>0</v>
      </c>
      <c r="AV123" s="90"/>
      <c r="AW123" s="101"/>
      <c r="AX123" s="487"/>
      <c r="AY123" s="497"/>
      <c r="AZ123" s="496">
        <v>0</v>
      </c>
      <c r="BA123" s="90"/>
      <c r="BB123" s="101"/>
      <c r="BC123" s="487"/>
      <c r="BD123" s="497"/>
      <c r="BE123" s="496">
        <v>0</v>
      </c>
      <c r="BF123" s="90"/>
      <c r="BG123" s="101"/>
      <c r="BH123" s="487"/>
      <c r="BI123" s="497"/>
      <c r="BJ123" s="496">
        <v>0</v>
      </c>
      <c r="BK123" s="90"/>
      <c r="BL123" s="101"/>
      <c r="BM123" s="487"/>
      <c r="BN123" s="497"/>
      <c r="BO123" s="496">
        <v>0</v>
      </c>
      <c r="BP123" s="90"/>
      <c r="BQ123" s="101"/>
      <c r="BR123" s="487"/>
      <c r="BS123" s="497"/>
      <c r="BT123" s="496">
        <f>SUM(L123:BO123)</f>
        <v>0</v>
      </c>
      <c r="BU123" s="90"/>
      <c r="BV123" s="101"/>
      <c r="BW123" s="398"/>
      <c r="BZ123" s="411"/>
      <c r="CA123" s="411"/>
    </row>
    <row r="124" spans="1:79" ht="12.75" x14ac:dyDescent="0.2">
      <c r="A124" s="388"/>
      <c r="B124" s="388"/>
      <c r="D124" s="398"/>
      <c r="E124" s="487"/>
      <c r="F124" s="388"/>
      <c r="G124" s="101"/>
      <c r="H124" s="101"/>
      <c r="I124" s="101"/>
      <c r="J124" s="487"/>
      <c r="K124" s="101"/>
      <c r="L124" s="101"/>
      <c r="M124" s="101"/>
      <c r="N124" s="101"/>
      <c r="O124" s="487"/>
      <c r="P124" s="101"/>
      <c r="Q124" s="101"/>
      <c r="R124" s="101"/>
      <c r="S124" s="101"/>
      <c r="T124" s="487"/>
      <c r="U124" s="101"/>
      <c r="V124" s="101"/>
      <c r="W124" s="101"/>
      <c r="X124" s="101"/>
      <c r="Y124" s="487"/>
      <c r="Z124" s="101"/>
      <c r="AA124" s="101"/>
      <c r="AB124" s="101"/>
      <c r="AC124" s="101"/>
      <c r="AD124" s="487"/>
      <c r="AE124" s="101"/>
      <c r="AF124" s="101"/>
      <c r="AG124" s="101"/>
      <c r="AH124" s="101"/>
      <c r="AI124" s="487"/>
      <c r="AJ124" s="101"/>
      <c r="AK124" s="101"/>
      <c r="AL124" s="101"/>
      <c r="AM124" s="101"/>
      <c r="AN124" s="487"/>
      <c r="AO124" s="101"/>
      <c r="AP124" s="101"/>
      <c r="AQ124" s="101"/>
      <c r="AR124" s="101"/>
      <c r="AS124" s="487"/>
      <c r="AT124" s="101"/>
      <c r="AU124" s="101"/>
      <c r="AV124" s="101"/>
      <c r="AW124" s="101"/>
      <c r="AX124" s="487"/>
      <c r="AY124" s="101"/>
      <c r="AZ124" s="101"/>
      <c r="BA124" s="101"/>
      <c r="BB124" s="101"/>
      <c r="BC124" s="487"/>
      <c r="BD124" s="101"/>
      <c r="BE124" s="101"/>
      <c r="BF124" s="101"/>
      <c r="BG124" s="101"/>
      <c r="BH124" s="487"/>
      <c r="BI124" s="101"/>
      <c r="BJ124" s="101"/>
      <c r="BK124" s="101"/>
      <c r="BL124" s="101"/>
      <c r="BM124" s="487"/>
      <c r="BN124" s="101"/>
      <c r="BO124" s="101"/>
      <c r="BP124" s="101"/>
      <c r="BQ124" s="101"/>
      <c r="BR124" s="487"/>
      <c r="BS124" s="101"/>
      <c r="BT124" s="101"/>
      <c r="BU124" s="101"/>
      <c r="BV124" s="101"/>
      <c r="BW124" s="398"/>
      <c r="BZ124" s="411"/>
      <c r="CA124" s="411"/>
    </row>
    <row r="125" spans="1:79" ht="12.75" hidden="1" customHeight="1" x14ac:dyDescent="0.2">
      <c r="A125" s="388"/>
      <c r="B125" s="388"/>
      <c r="D125" s="398" t="s">
        <v>396</v>
      </c>
      <c r="E125" s="487"/>
      <c r="F125" s="388"/>
      <c r="G125" s="101">
        <f>SUM(G126:G129)</f>
        <v>0</v>
      </c>
      <c r="H125" s="101"/>
      <c r="I125" s="101"/>
      <c r="J125" s="487"/>
      <c r="K125" s="101"/>
      <c r="L125" s="101">
        <f>SUM(L126:L129)</f>
        <v>0</v>
      </c>
      <c r="M125" s="101"/>
      <c r="N125" s="101"/>
      <c r="O125" s="487"/>
      <c r="P125" s="101"/>
      <c r="Q125" s="101">
        <f>SUM(Q126:Q129)</f>
        <v>0</v>
      </c>
      <c r="R125" s="101"/>
      <c r="S125" s="101"/>
      <c r="T125" s="487"/>
      <c r="U125" s="101"/>
      <c r="V125" s="101">
        <f>SUM(V126:V129)</f>
        <v>0</v>
      </c>
      <c r="W125" s="101"/>
      <c r="X125" s="101"/>
      <c r="Y125" s="487"/>
      <c r="Z125" s="101"/>
      <c r="AA125" s="101">
        <f>SUM(AA126:AA129)</f>
        <v>0</v>
      </c>
      <c r="AB125" s="101"/>
      <c r="AC125" s="101"/>
      <c r="AD125" s="487"/>
      <c r="AE125" s="101"/>
      <c r="AF125" s="101">
        <f>SUM(AF126:AF129)</f>
        <v>0</v>
      </c>
      <c r="AG125" s="101"/>
      <c r="AH125" s="101"/>
      <c r="AI125" s="487"/>
      <c r="AJ125" s="101"/>
      <c r="AK125" s="101">
        <f>SUM(AK126:AK129)</f>
        <v>0</v>
      </c>
      <c r="AL125" s="101"/>
      <c r="AM125" s="101"/>
      <c r="AN125" s="487"/>
      <c r="AO125" s="101"/>
      <c r="AP125" s="101">
        <f>SUM(AP126:AP129)</f>
        <v>0</v>
      </c>
      <c r="AQ125" s="101"/>
      <c r="AR125" s="101"/>
      <c r="AS125" s="487"/>
      <c r="AT125" s="101"/>
      <c r="AU125" s="101">
        <f>SUM(AU126:AU129)</f>
        <v>0</v>
      </c>
      <c r="AV125" s="101"/>
      <c r="AW125" s="101"/>
      <c r="AX125" s="487"/>
      <c r="AY125" s="101"/>
      <c r="AZ125" s="101">
        <f>SUM(AZ126:AZ129)</f>
        <v>0</v>
      </c>
      <c r="BA125" s="101"/>
      <c r="BB125" s="101"/>
      <c r="BC125" s="487"/>
      <c r="BD125" s="101"/>
      <c r="BE125" s="101">
        <f>SUM(BE126:BE129)</f>
        <v>0</v>
      </c>
      <c r="BF125" s="101"/>
      <c r="BG125" s="101"/>
      <c r="BH125" s="487"/>
      <c r="BI125" s="101"/>
      <c r="BJ125" s="101">
        <f>SUM(BJ126:BJ129)</f>
        <v>0</v>
      </c>
      <c r="BK125" s="101"/>
      <c r="BL125" s="101"/>
      <c r="BM125" s="487"/>
      <c r="BN125" s="101"/>
      <c r="BO125" s="101">
        <f>SUM(BO126:BO129)</f>
        <v>0</v>
      </c>
      <c r="BP125" s="101"/>
      <c r="BQ125" s="101"/>
      <c r="BR125" s="487"/>
      <c r="BS125" s="101"/>
      <c r="BT125" s="101">
        <f>SUM(BT126:BT129)</f>
        <v>0</v>
      </c>
      <c r="BU125" s="101"/>
      <c r="BV125" s="101"/>
      <c r="BW125" s="398"/>
      <c r="BZ125" s="411"/>
      <c r="CA125" s="411"/>
    </row>
    <row r="126" spans="1:79" ht="12.75" hidden="1" customHeight="1" x14ac:dyDescent="0.2">
      <c r="A126" s="388"/>
      <c r="B126" s="388"/>
      <c r="D126" s="398" t="s">
        <v>373</v>
      </c>
      <c r="E126" s="487"/>
      <c r="F126" s="412"/>
      <c r="G126" s="485">
        <v>0</v>
      </c>
      <c r="H126" s="486"/>
      <c r="I126" s="101"/>
      <c r="J126" s="487"/>
      <c r="K126" s="488"/>
      <c r="L126" s="485">
        <v>0</v>
      </c>
      <c r="M126" s="486"/>
      <c r="N126" s="101"/>
      <c r="O126" s="487"/>
      <c r="P126" s="488"/>
      <c r="Q126" s="485">
        <v>0</v>
      </c>
      <c r="R126" s="486"/>
      <c r="S126" s="101"/>
      <c r="T126" s="487"/>
      <c r="U126" s="488"/>
      <c r="V126" s="485">
        <v>0</v>
      </c>
      <c r="W126" s="486"/>
      <c r="X126" s="101"/>
      <c r="Y126" s="487"/>
      <c r="Z126" s="488"/>
      <c r="AA126" s="485">
        <v>0</v>
      </c>
      <c r="AB126" s="486"/>
      <c r="AC126" s="101"/>
      <c r="AD126" s="487"/>
      <c r="AE126" s="488"/>
      <c r="AF126" s="485">
        <v>0</v>
      </c>
      <c r="AG126" s="486"/>
      <c r="AH126" s="101"/>
      <c r="AI126" s="487"/>
      <c r="AJ126" s="488"/>
      <c r="AK126" s="485">
        <v>0</v>
      </c>
      <c r="AL126" s="486"/>
      <c r="AM126" s="101"/>
      <c r="AN126" s="487"/>
      <c r="AO126" s="488"/>
      <c r="AP126" s="485">
        <v>0</v>
      </c>
      <c r="AQ126" s="486"/>
      <c r="AR126" s="101"/>
      <c r="AS126" s="487"/>
      <c r="AT126" s="488"/>
      <c r="AU126" s="485">
        <v>0</v>
      </c>
      <c r="AV126" s="486"/>
      <c r="AW126" s="101"/>
      <c r="AX126" s="487"/>
      <c r="AY126" s="488"/>
      <c r="AZ126" s="485">
        <v>0</v>
      </c>
      <c r="BA126" s="486"/>
      <c r="BB126" s="101"/>
      <c r="BC126" s="487"/>
      <c r="BD126" s="488"/>
      <c r="BE126" s="485">
        <v>0</v>
      </c>
      <c r="BF126" s="486"/>
      <c r="BG126" s="101"/>
      <c r="BH126" s="487"/>
      <c r="BI126" s="488"/>
      <c r="BJ126" s="485">
        <v>0</v>
      </c>
      <c r="BK126" s="486"/>
      <c r="BL126" s="101"/>
      <c r="BM126" s="487"/>
      <c r="BN126" s="488"/>
      <c r="BO126" s="485">
        <v>0</v>
      </c>
      <c r="BP126" s="486"/>
      <c r="BQ126" s="101"/>
      <c r="BR126" s="487"/>
      <c r="BS126" s="488"/>
      <c r="BT126" s="485">
        <f>SUM(L126:BO126)</f>
        <v>0</v>
      </c>
      <c r="BU126" s="486"/>
      <c r="BV126" s="101"/>
      <c r="BW126" s="398"/>
      <c r="BZ126" s="411"/>
      <c r="CA126" s="411"/>
    </row>
    <row r="127" spans="1:79" ht="12.75" hidden="1" customHeight="1" x14ac:dyDescent="0.2">
      <c r="A127" s="388"/>
      <c r="B127" s="388"/>
      <c r="D127" s="398" t="s">
        <v>375</v>
      </c>
      <c r="E127" s="487"/>
      <c r="F127" s="404"/>
      <c r="G127" s="101">
        <v>0</v>
      </c>
      <c r="H127" s="49"/>
      <c r="I127" s="101"/>
      <c r="J127" s="487"/>
      <c r="K127" s="487"/>
      <c r="L127" s="101">
        <v>0</v>
      </c>
      <c r="M127" s="49"/>
      <c r="N127" s="101"/>
      <c r="O127" s="487"/>
      <c r="P127" s="487"/>
      <c r="Q127" s="101">
        <v>0</v>
      </c>
      <c r="R127" s="49"/>
      <c r="S127" s="101"/>
      <c r="T127" s="487"/>
      <c r="U127" s="487"/>
      <c r="V127" s="101">
        <v>0</v>
      </c>
      <c r="W127" s="49"/>
      <c r="X127" s="101"/>
      <c r="Y127" s="487"/>
      <c r="Z127" s="487"/>
      <c r="AA127" s="101">
        <v>0</v>
      </c>
      <c r="AB127" s="49"/>
      <c r="AC127" s="101"/>
      <c r="AD127" s="487"/>
      <c r="AE127" s="487"/>
      <c r="AF127" s="101">
        <v>0</v>
      </c>
      <c r="AG127" s="49"/>
      <c r="AH127" s="101"/>
      <c r="AI127" s="487"/>
      <c r="AJ127" s="487"/>
      <c r="AK127" s="101">
        <v>0</v>
      </c>
      <c r="AL127" s="49"/>
      <c r="AM127" s="101"/>
      <c r="AN127" s="487"/>
      <c r="AO127" s="487"/>
      <c r="AP127" s="101">
        <v>0</v>
      </c>
      <c r="AQ127" s="49"/>
      <c r="AR127" s="101"/>
      <c r="AS127" s="487"/>
      <c r="AT127" s="487"/>
      <c r="AU127" s="101">
        <v>0</v>
      </c>
      <c r="AV127" s="49"/>
      <c r="AW127" s="101"/>
      <c r="AX127" s="487"/>
      <c r="AY127" s="487"/>
      <c r="AZ127" s="101">
        <v>0</v>
      </c>
      <c r="BA127" s="49"/>
      <c r="BB127" s="101"/>
      <c r="BC127" s="487"/>
      <c r="BD127" s="487"/>
      <c r="BE127" s="101">
        <v>0</v>
      </c>
      <c r="BF127" s="49"/>
      <c r="BG127" s="101"/>
      <c r="BH127" s="487"/>
      <c r="BI127" s="487"/>
      <c r="BJ127" s="101">
        <v>0</v>
      </c>
      <c r="BK127" s="49"/>
      <c r="BL127" s="101"/>
      <c r="BM127" s="487"/>
      <c r="BN127" s="487"/>
      <c r="BO127" s="101">
        <v>0</v>
      </c>
      <c r="BP127" s="49"/>
      <c r="BQ127" s="101"/>
      <c r="BR127" s="487"/>
      <c r="BS127" s="487"/>
      <c r="BT127" s="101">
        <f>SUM(L127:BO127)</f>
        <v>0</v>
      </c>
      <c r="BU127" s="49"/>
      <c r="BV127" s="101"/>
      <c r="BW127" s="398"/>
      <c r="BZ127" s="411"/>
      <c r="CA127" s="411"/>
    </row>
    <row r="128" spans="1:79" ht="12.75" hidden="1" customHeight="1" x14ac:dyDescent="0.2">
      <c r="A128" s="388"/>
      <c r="B128" s="388"/>
      <c r="D128" s="398" t="s">
        <v>376</v>
      </c>
      <c r="E128" s="487"/>
      <c r="F128" s="404"/>
      <c r="G128" s="101">
        <v>0</v>
      </c>
      <c r="H128" s="49"/>
      <c r="I128" s="101"/>
      <c r="J128" s="487"/>
      <c r="K128" s="487"/>
      <c r="L128" s="101">
        <v>0</v>
      </c>
      <c r="M128" s="49"/>
      <c r="N128" s="101"/>
      <c r="O128" s="487"/>
      <c r="P128" s="487"/>
      <c r="Q128" s="101">
        <v>0</v>
      </c>
      <c r="R128" s="49"/>
      <c r="S128" s="101"/>
      <c r="T128" s="487"/>
      <c r="U128" s="487"/>
      <c r="V128" s="101">
        <v>0</v>
      </c>
      <c r="W128" s="49"/>
      <c r="X128" s="101"/>
      <c r="Y128" s="487"/>
      <c r="Z128" s="487"/>
      <c r="AA128" s="101">
        <v>0</v>
      </c>
      <c r="AB128" s="49"/>
      <c r="AC128" s="101"/>
      <c r="AD128" s="487"/>
      <c r="AE128" s="487"/>
      <c r="AF128" s="101">
        <v>0</v>
      </c>
      <c r="AG128" s="49"/>
      <c r="AH128" s="101"/>
      <c r="AI128" s="487"/>
      <c r="AJ128" s="487"/>
      <c r="AK128" s="101">
        <v>0</v>
      </c>
      <c r="AL128" s="49"/>
      <c r="AM128" s="101"/>
      <c r="AN128" s="487"/>
      <c r="AO128" s="487"/>
      <c r="AP128" s="101">
        <v>0</v>
      </c>
      <c r="AQ128" s="49"/>
      <c r="AR128" s="101"/>
      <c r="AS128" s="487"/>
      <c r="AT128" s="487"/>
      <c r="AU128" s="101">
        <v>0</v>
      </c>
      <c r="AV128" s="49"/>
      <c r="AW128" s="101"/>
      <c r="AX128" s="487"/>
      <c r="AY128" s="487"/>
      <c r="AZ128" s="101">
        <v>0</v>
      </c>
      <c r="BA128" s="49"/>
      <c r="BB128" s="101"/>
      <c r="BC128" s="487"/>
      <c r="BD128" s="487"/>
      <c r="BE128" s="101">
        <v>0</v>
      </c>
      <c r="BF128" s="49"/>
      <c r="BG128" s="101"/>
      <c r="BH128" s="487"/>
      <c r="BI128" s="487"/>
      <c r="BJ128" s="101">
        <v>0</v>
      </c>
      <c r="BK128" s="49"/>
      <c r="BL128" s="101"/>
      <c r="BM128" s="487"/>
      <c r="BN128" s="487"/>
      <c r="BO128" s="101">
        <v>0</v>
      </c>
      <c r="BP128" s="49"/>
      <c r="BQ128" s="101"/>
      <c r="BR128" s="487"/>
      <c r="BS128" s="487"/>
      <c r="BT128" s="101">
        <f>SUM(L128:BO128)</f>
        <v>0</v>
      </c>
      <c r="BU128" s="49"/>
      <c r="BV128" s="101"/>
      <c r="BW128" s="398"/>
      <c r="BZ128" s="411"/>
      <c r="CA128" s="411"/>
    </row>
    <row r="129" spans="1:79" ht="12.75" hidden="1" customHeight="1" x14ac:dyDescent="0.2">
      <c r="A129" s="388"/>
      <c r="B129" s="388"/>
      <c r="D129" s="398" t="s">
        <v>377</v>
      </c>
      <c r="E129" s="487"/>
      <c r="F129" s="427"/>
      <c r="G129" s="496">
        <v>0</v>
      </c>
      <c r="H129" s="90"/>
      <c r="I129" s="101"/>
      <c r="J129" s="487"/>
      <c r="K129" s="497"/>
      <c r="L129" s="496">
        <v>0</v>
      </c>
      <c r="M129" s="90"/>
      <c r="N129" s="101"/>
      <c r="O129" s="487"/>
      <c r="P129" s="497"/>
      <c r="Q129" s="496">
        <v>0</v>
      </c>
      <c r="R129" s="90"/>
      <c r="S129" s="101"/>
      <c r="T129" s="487"/>
      <c r="U129" s="497"/>
      <c r="V129" s="496">
        <v>0</v>
      </c>
      <c r="W129" s="90"/>
      <c r="X129" s="101"/>
      <c r="Y129" s="487"/>
      <c r="Z129" s="497"/>
      <c r="AA129" s="496">
        <v>0</v>
      </c>
      <c r="AB129" s="90"/>
      <c r="AC129" s="101"/>
      <c r="AD129" s="487"/>
      <c r="AE129" s="497"/>
      <c r="AF129" s="496">
        <v>0</v>
      </c>
      <c r="AG129" s="90"/>
      <c r="AH129" s="101"/>
      <c r="AI129" s="487"/>
      <c r="AJ129" s="497"/>
      <c r="AK129" s="496">
        <v>0</v>
      </c>
      <c r="AL129" s="90"/>
      <c r="AM129" s="101"/>
      <c r="AN129" s="487"/>
      <c r="AO129" s="497"/>
      <c r="AP129" s="496">
        <v>0</v>
      </c>
      <c r="AQ129" s="90"/>
      <c r="AR129" s="101"/>
      <c r="AS129" s="487"/>
      <c r="AT129" s="497"/>
      <c r="AU129" s="496">
        <v>0</v>
      </c>
      <c r="AV129" s="90"/>
      <c r="AW129" s="101"/>
      <c r="AX129" s="487"/>
      <c r="AY129" s="497"/>
      <c r="AZ129" s="496">
        <v>0</v>
      </c>
      <c r="BA129" s="90"/>
      <c r="BB129" s="101"/>
      <c r="BC129" s="487"/>
      <c r="BD129" s="497"/>
      <c r="BE129" s="496">
        <v>0</v>
      </c>
      <c r="BF129" s="90"/>
      <c r="BG129" s="101"/>
      <c r="BH129" s="487"/>
      <c r="BI129" s="497"/>
      <c r="BJ129" s="496">
        <v>0</v>
      </c>
      <c r="BK129" s="90"/>
      <c r="BL129" s="101"/>
      <c r="BM129" s="487"/>
      <c r="BN129" s="497"/>
      <c r="BO129" s="496">
        <v>0</v>
      </c>
      <c r="BP129" s="90"/>
      <c r="BQ129" s="101"/>
      <c r="BR129" s="487"/>
      <c r="BS129" s="497"/>
      <c r="BT129" s="496">
        <f>SUM(L129:BO129)</f>
        <v>0</v>
      </c>
      <c r="BU129" s="90"/>
      <c r="BV129" s="101"/>
      <c r="BW129" s="398"/>
      <c r="BZ129" s="411"/>
      <c r="CA129" s="411"/>
    </row>
    <row r="130" spans="1:79" ht="12.75" hidden="1" customHeight="1" x14ac:dyDescent="0.2">
      <c r="A130" s="388"/>
      <c r="B130" s="388"/>
      <c r="D130" s="398"/>
      <c r="E130" s="487"/>
      <c r="F130" s="388"/>
      <c r="G130" s="101"/>
      <c r="H130" s="101"/>
      <c r="I130" s="101"/>
      <c r="J130" s="487"/>
      <c r="K130" s="101"/>
      <c r="L130" s="101"/>
      <c r="M130" s="101"/>
      <c r="N130" s="101"/>
      <c r="O130" s="487"/>
      <c r="P130" s="101"/>
      <c r="Q130" s="101"/>
      <c r="R130" s="101"/>
      <c r="S130" s="101"/>
      <c r="T130" s="487"/>
      <c r="U130" s="101"/>
      <c r="V130" s="101"/>
      <c r="W130" s="101"/>
      <c r="X130" s="101"/>
      <c r="Y130" s="487"/>
      <c r="Z130" s="101"/>
      <c r="AA130" s="101"/>
      <c r="AB130" s="101"/>
      <c r="AC130" s="101"/>
      <c r="AD130" s="487"/>
      <c r="AE130" s="101"/>
      <c r="AF130" s="101"/>
      <c r="AG130" s="101"/>
      <c r="AH130" s="101"/>
      <c r="AI130" s="487"/>
      <c r="AJ130" s="101"/>
      <c r="AK130" s="101"/>
      <c r="AL130" s="101"/>
      <c r="AM130" s="101"/>
      <c r="AN130" s="487"/>
      <c r="AO130" s="101"/>
      <c r="AP130" s="101"/>
      <c r="AQ130" s="101"/>
      <c r="AR130" s="101"/>
      <c r="AS130" s="487"/>
      <c r="AT130" s="101"/>
      <c r="AU130" s="101"/>
      <c r="AV130" s="101"/>
      <c r="AW130" s="101"/>
      <c r="AX130" s="487"/>
      <c r="AY130" s="101"/>
      <c r="AZ130" s="101"/>
      <c r="BA130" s="101"/>
      <c r="BB130" s="101"/>
      <c r="BC130" s="487"/>
      <c r="BD130" s="101"/>
      <c r="BE130" s="101"/>
      <c r="BF130" s="101"/>
      <c r="BG130" s="101"/>
      <c r="BH130" s="487"/>
      <c r="BI130" s="101"/>
      <c r="BJ130" s="101"/>
      <c r="BK130" s="101"/>
      <c r="BL130" s="101"/>
      <c r="BM130" s="487"/>
      <c r="BN130" s="101"/>
      <c r="BO130" s="101"/>
      <c r="BP130" s="101"/>
      <c r="BQ130" s="101"/>
      <c r="BR130" s="487"/>
      <c r="BS130" s="101"/>
      <c r="BT130" s="101"/>
      <c r="BU130" s="101"/>
      <c r="BV130" s="101"/>
      <c r="BW130" s="398"/>
      <c r="BZ130" s="411"/>
      <c r="CA130" s="411"/>
    </row>
    <row r="131" spans="1:79" ht="12.75" hidden="1" customHeight="1" x14ac:dyDescent="0.2">
      <c r="A131" s="388"/>
      <c r="B131" s="388"/>
      <c r="D131" s="398" t="s">
        <v>397</v>
      </c>
      <c r="E131" s="487"/>
      <c r="F131" s="388"/>
      <c r="G131" s="101">
        <f>SUM(G132:G135)</f>
        <v>0</v>
      </c>
      <c r="H131" s="101"/>
      <c r="I131" s="101"/>
      <c r="J131" s="487"/>
      <c r="K131" s="101"/>
      <c r="L131" s="101">
        <f>SUM(L132:L135)</f>
        <v>0</v>
      </c>
      <c r="M131" s="101"/>
      <c r="N131" s="101"/>
      <c r="O131" s="487"/>
      <c r="P131" s="101"/>
      <c r="Q131" s="101">
        <f>SUM(Q132:Q135)</f>
        <v>0</v>
      </c>
      <c r="R131" s="101"/>
      <c r="S131" s="101"/>
      <c r="T131" s="487"/>
      <c r="U131" s="101"/>
      <c r="V131" s="101">
        <f>SUM(V132:V135)</f>
        <v>0</v>
      </c>
      <c r="W131" s="101"/>
      <c r="X131" s="101"/>
      <c r="Y131" s="487"/>
      <c r="Z131" s="101"/>
      <c r="AA131" s="101">
        <f>SUM(AA132:AA135)</f>
        <v>0</v>
      </c>
      <c r="AB131" s="101"/>
      <c r="AC131" s="101"/>
      <c r="AD131" s="487"/>
      <c r="AE131" s="101"/>
      <c r="AF131" s="101">
        <f>SUM(AF132:AF135)</f>
        <v>0</v>
      </c>
      <c r="AG131" s="101"/>
      <c r="AH131" s="101"/>
      <c r="AI131" s="487"/>
      <c r="AJ131" s="101"/>
      <c r="AK131" s="101">
        <f>SUM(AK132:AK135)</f>
        <v>0</v>
      </c>
      <c r="AL131" s="101"/>
      <c r="AM131" s="101"/>
      <c r="AN131" s="487"/>
      <c r="AO131" s="101"/>
      <c r="AP131" s="101">
        <f>SUM(AP132:AP135)</f>
        <v>0</v>
      </c>
      <c r="AQ131" s="101"/>
      <c r="AR131" s="101"/>
      <c r="AS131" s="487"/>
      <c r="AT131" s="101"/>
      <c r="AU131" s="101">
        <f>SUM(AU132:AU135)</f>
        <v>0</v>
      </c>
      <c r="AV131" s="101"/>
      <c r="AW131" s="101"/>
      <c r="AX131" s="487"/>
      <c r="AY131" s="101"/>
      <c r="AZ131" s="101">
        <f>SUM(AZ132:AZ135)</f>
        <v>0</v>
      </c>
      <c r="BA131" s="101"/>
      <c r="BB131" s="101"/>
      <c r="BC131" s="487"/>
      <c r="BD131" s="101"/>
      <c r="BE131" s="101">
        <f>SUM(BE132:BE135)</f>
        <v>0</v>
      </c>
      <c r="BF131" s="101"/>
      <c r="BG131" s="101"/>
      <c r="BH131" s="487"/>
      <c r="BI131" s="101"/>
      <c r="BJ131" s="101">
        <f>SUM(BJ132:BJ135)</f>
        <v>0</v>
      </c>
      <c r="BK131" s="101"/>
      <c r="BL131" s="101"/>
      <c r="BM131" s="487"/>
      <c r="BN131" s="101"/>
      <c r="BO131" s="101">
        <f>SUM(BO132:BO135)</f>
        <v>0</v>
      </c>
      <c r="BP131" s="101"/>
      <c r="BQ131" s="101"/>
      <c r="BR131" s="487"/>
      <c r="BS131" s="101"/>
      <c r="BT131" s="101">
        <f>SUM(BT132:BT135)</f>
        <v>0</v>
      </c>
      <c r="BU131" s="101"/>
      <c r="BV131" s="101"/>
      <c r="BW131" s="398"/>
      <c r="BZ131" s="411"/>
      <c r="CA131" s="411"/>
    </row>
    <row r="132" spans="1:79" ht="12.75" hidden="1" customHeight="1" x14ac:dyDescent="0.2">
      <c r="A132" s="388"/>
      <c r="B132" s="388"/>
      <c r="D132" s="398" t="s">
        <v>373</v>
      </c>
      <c r="E132" s="487"/>
      <c r="F132" s="412"/>
      <c r="G132" s="485">
        <v>0</v>
      </c>
      <c r="H132" s="486"/>
      <c r="I132" s="101"/>
      <c r="J132" s="487"/>
      <c r="K132" s="488"/>
      <c r="L132" s="485">
        <v>0</v>
      </c>
      <c r="M132" s="486"/>
      <c r="N132" s="101"/>
      <c r="O132" s="487"/>
      <c r="P132" s="488"/>
      <c r="Q132" s="485">
        <v>0</v>
      </c>
      <c r="R132" s="486"/>
      <c r="S132" s="101"/>
      <c r="T132" s="487"/>
      <c r="U132" s="488"/>
      <c r="V132" s="485">
        <v>0</v>
      </c>
      <c r="W132" s="486"/>
      <c r="X132" s="101"/>
      <c r="Y132" s="487"/>
      <c r="Z132" s="488"/>
      <c r="AA132" s="485">
        <v>0</v>
      </c>
      <c r="AB132" s="486"/>
      <c r="AC132" s="101"/>
      <c r="AD132" s="487"/>
      <c r="AE132" s="488"/>
      <c r="AF132" s="485">
        <v>0</v>
      </c>
      <c r="AG132" s="486"/>
      <c r="AH132" s="101"/>
      <c r="AI132" s="487"/>
      <c r="AJ132" s="488"/>
      <c r="AK132" s="485">
        <v>0</v>
      </c>
      <c r="AL132" s="486"/>
      <c r="AM132" s="101"/>
      <c r="AN132" s="487"/>
      <c r="AO132" s="488"/>
      <c r="AP132" s="485">
        <v>0</v>
      </c>
      <c r="AQ132" s="486"/>
      <c r="AR132" s="101"/>
      <c r="AS132" s="487"/>
      <c r="AT132" s="488"/>
      <c r="AU132" s="485">
        <v>0</v>
      </c>
      <c r="AV132" s="486"/>
      <c r="AW132" s="101"/>
      <c r="AX132" s="487"/>
      <c r="AY132" s="488"/>
      <c r="AZ132" s="485">
        <v>0</v>
      </c>
      <c r="BA132" s="486"/>
      <c r="BB132" s="101"/>
      <c r="BC132" s="487"/>
      <c r="BD132" s="488"/>
      <c r="BE132" s="485">
        <v>0</v>
      </c>
      <c r="BF132" s="486"/>
      <c r="BG132" s="101"/>
      <c r="BH132" s="487"/>
      <c r="BI132" s="488"/>
      <c r="BJ132" s="485">
        <v>0</v>
      </c>
      <c r="BK132" s="486"/>
      <c r="BL132" s="101"/>
      <c r="BM132" s="487"/>
      <c r="BN132" s="488"/>
      <c r="BO132" s="485">
        <v>0</v>
      </c>
      <c r="BP132" s="486"/>
      <c r="BQ132" s="101"/>
      <c r="BR132" s="487"/>
      <c r="BS132" s="488"/>
      <c r="BT132" s="485">
        <f>SUM(L132:BO132)</f>
        <v>0</v>
      </c>
      <c r="BU132" s="486"/>
      <c r="BV132" s="101"/>
      <c r="BW132" s="398"/>
      <c r="BZ132" s="411"/>
      <c r="CA132" s="411"/>
    </row>
    <row r="133" spans="1:79" ht="12.75" hidden="1" customHeight="1" x14ac:dyDescent="0.2">
      <c r="A133" s="388"/>
      <c r="B133" s="388"/>
      <c r="D133" s="398" t="s">
        <v>375</v>
      </c>
      <c r="E133" s="487"/>
      <c r="F133" s="404"/>
      <c r="G133" s="101">
        <v>0</v>
      </c>
      <c r="H133" s="49"/>
      <c r="I133" s="101"/>
      <c r="J133" s="487"/>
      <c r="K133" s="487"/>
      <c r="L133" s="101">
        <v>0</v>
      </c>
      <c r="M133" s="49"/>
      <c r="N133" s="101"/>
      <c r="O133" s="487"/>
      <c r="P133" s="487"/>
      <c r="Q133" s="101">
        <v>0</v>
      </c>
      <c r="R133" s="49"/>
      <c r="S133" s="101"/>
      <c r="T133" s="487"/>
      <c r="U133" s="487"/>
      <c r="V133" s="101">
        <v>0</v>
      </c>
      <c r="W133" s="49"/>
      <c r="X133" s="101"/>
      <c r="Y133" s="487"/>
      <c r="Z133" s="487"/>
      <c r="AA133" s="101">
        <v>0</v>
      </c>
      <c r="AB133" s="49"/>
      <c r="AC133" s="101"/>
      <c r="AD133" s="487"/>
      <c r="AE133" s="487"/>
      <c r="AF133" s="101">
        <v>0</v>
      </c>
      <c r="AG133" s="49"/>
      <c r="AH133" s="101"/>
      <c r="AI133" s="487"/>
      <c r="AJ133" s="487"/>
      <c r="AK133" s="101">
        <v>0</v>
      </c>
      <c r="AL133" s="49"/>
      <c r="AM133" s="101"/>
      <c r="AN133" s="487"/>
      <c r="AO133" s="487"/>
      <c r="AP133" s="101">
        <v>0</v>
      </c>
      <c r="AQ133" s="49"/>
      <c r="AR133" s="101"/>
      <c r="AS133" s="487"/>
      <c r="AT133" s="487"/>
      <c r="AU133" s="101">
        <v>0</v>
      </c>
      <c r="AV133" s="49"/>
      <c r="AW133" s="101"/>
      <c r="AX133" s="487"/>
      <c r="AY133" s="487"/>
      <c r="AZ133" s="101">
        <v>0</v>
      </c>
      <c r="BA133" s="49"/>
      <c r="BB133" s="101"/>
      <c r="BC133" s="487"/>
      <c r="BD133" s="487"/>
      <c r="BE133" s="101">
        <v>0</v>
      </c>
      <c r="BF133" s="49"/>
      <c r="BG133" s="101"/>
      <c r="BH133" s="487"/>
      <c r="BI133" s="487"/>
      <c r="BJ133" s="101">
        <v>0</v>
      </c>
      <c r="BK133" s="49"/>
      <c r="BL133" s="101"/>
      <c r="BM133" s="487"/>
      <c r="BN133" s="487"/>
      <c r="BO133" s="101">
        <v>0</v>
      </c>
      <c r="BP133" s="49"/>
      <c r="BQ133" s="101"/>
      <c r="BR133" s="487"/>
      <c r="BS133" s="487"/>
      <c r="BT133" s="101">
        <f>SUM(L133:BO133)</f>
        <v>0</v>
      </c>
      <c r="BU133" s="49"/>
      <c r="BV133" s="101"/>
      <c r="BW133" s="398"/>
      <c r="BZ133" s="411"/>
      <c r="CA133" s="411"/>
    </row>
    <row r="134" spans="1:79" ht="12.75" hidden="1" customHeight="1" x14ac:dyDescent="0.2">
      <c r="A134" s="388"/>
      <c r="B134" s="388"/>
      <c r="D134" s="398" t="s">
        <v>376</v>
      </c>
      <c r="E134" s="487"/>
      <c r="F134" s="404"/>
      <c r="G134" s="101">
        <v>0</v>
      </c>
      <c r="H134" s="49"/>
      <c r="I134" s="101"/>
      <c r="J134" s="487"/>
      <c r="K134" s="487"/>
      <c r="L134" s="101">
        <v>0</v>
      </c>
      <c r="M134" s="49"/>
      <c r="N134" s="101"/>
      <c r="O134" s="487"/>
      <c r="P134" s="487"/>
      <c r="Q134" s="101">
        <v>0</v>
      </c>
      <c r="R134" s="49"/>
      <c r="S134" s="101"/>
      <c r="T134" s="487"/>
      <c r="U134" s="487"/>
      <c r="V134" s="101">
        <v>0</v>
      </c>
      <c r="W134" s="49"/>
      <c r="X134" s="101"/>
      <c r="Y134" s="487"/>
      <c r="Z134" s="487"/>
      <c r="AA134" s="101">
        <v>0</v>
      </c>
      <c r="AB134" s="49"/>
      <c r="AC134" s="101"/>
      <c r="AD134" s="487"/>
      <c r="AE134" s="487"/>
      <c r="AF134" s="101">
        <v>0</v>
      </c>
      <c r="AG134" s="49"/>
      <c r="AH134" s="101"/>
      <c r="AI134" s="487"/>
      <c r="AJ134" s="487"/>
      <c r="AK134" s="101">
        <v>0</v>
      </c>
      <c r="AL134" s="49"/>
      <c r="AM134" s="101"/>
      <c r="AN134" s="487"/>
      <c r="AO134" s="487"/>
      <c r="AP134" s="101">
        <v>0</v>
      </c>
      <c r="AQ134" s="49"/>
      <c r="AR134" s="101"/>
      <c r="AS134" s="487"/>
      <c r="AT134" s="487"/>
      <c r="AU134" s="101">
        <v>0</v>
      </c>
      <c r="AV134" s="49"/>
      <c r="AW134" s="101"/>
      <c r="AX134" s="487"/>
      <c r="AY134" s="487"/>
      <c r="AZ134" s="101">
        <v>0</v>
      </c>
      <c r="BA134" s="49"/>
      <c r="BB134" s="101"/>
      <c r="BC134" s="487"/>
      <c r="BD134" s="487"/>
      <c r="BE134" s="101">
        <v>0</v>
      </c>
      <c r="BF134" s="49"/>
      <c r="BG134" s="101"/>
      <c r="BH134" s="487"/>
      <c r="BI134" s="487"/>
      <c r="BJ134" s="101">
        <v>0</v>
      </c>
      <c r="BK134" s="49"/>
      <c r="BL134" s="101"/>
      <c r="BM134" s="487"/>
      <c r="BN134" s="487"/>
      <c r="BO134" s="101">
        <v>0</v>
      </c>
      <c r="BP134" s="49"/>
      <c r="BQ134" s="101"/>
      <c r="BR134" s="487"/>
      <c r="BS134" s="487"/>
      <c r="BT134" s="101">
        <f>SUM(L134:BO134)</f>
        <v>0</v>
      </c>
      <c r="BU134" s="49"/>
      <c r="BV134" s="101"/>
      <c r="BW134" s="398"/>
      <c r="BZ134" s="411"/>
      <c r="CA134" s="411"/>
    </row>
    <row r="135" spans="1:79" ht="12.75" hidden="1" customHeight="1" x14ac:dyDescent="0.2">
      <c r="A135" s="388"/>
      <c r="B135" s="388"/>
      <c r="D135" s="398" t="s">
        <v>377</v>
      </c>
      <c r="E135" s="487"/>
      <c r="F135" s="427"/>
      <c r="G135" s="496">
        <v>0</v>
      </c>
      <c r="H135" s="90"/>
      <c r="I135" s="101"/>
      <c r="J135" s="487"/>
      <c r="K135" s="497"/>
      <c r="L135" s="496">
        <v>0</v>
      </c>
      <c r="M135" s="90"/>
      <c r="N135" s="101"/>
      <c r="O135" s="487"/>
      <c r="P135" s="497"/>
      <c r="Q135" s="496">
        <v>0</v>
      </c>
      <c r="R135" s="90"/>
      <c r="S135" s="101"/>
      <c r="T135" s="487"/>
      <c r="U135" s="497"/>
      <c r="V135" s="496">
        <v>0</v>
      </c>
      <c r="W135" s="90"/>
      <c r="X135" s="101"/>
      <c r="Y135" s="487"/>
      <c r="Z135" s="497"/>
      <c r="AA135" s="496">
        <v>0</v>
      </c>
      <c r="AB135" s="90"/>
      <c r="AC135" s="101"/>
      <c r="AD135" s="487"/>
      <c r="AE135" s="497"/>
      <c r="AF135" s="496">
        <v>0</v>
      </c>
      <c r="AG135" s="90"/>
      <c r="AH135" s="101"/>
      <c r="AI135" s="487"/>
      <c r="AJ135" s="497"/>
      <c r="AK135" s="496">
        <v>0</v>
      </c>
      <c r="AL135" s="90"/>
      <c r="AM135" s="101"/>
      <c r="AN135" s="487"/>
      <c r="AO135" s="497"/>
      <c r="AP135" s="496">
        <v>0</v>
      </c>
      <c r="AQ135" s="90"/>
      <c r="AR135" s="101"/>
      <c r="AS135" s="487"/>
      <c r="AT135" s="497"/>
      <c r="AU135" s="496">
        <v>0</v>
      </c>
      <c r="AV135" s="90"/>
      <c r="AW135" s="101"/>
      <c r="AX135" s="487"/>
      <c r="AY135" s="497"/>
      <c r="AZ135" s="496">
        <v>0</v>
      </c>
      <c r="BA135" s="90"/>
      <c r="BB135" s="101"/>
      <c r="BC135" s="487"/>
      <c r="BD135" s="497"/>
      <c r="BE135" s="496">
        <v>0</v>
      </c>
      <c r="BF135" s="90"/>
      <c r="BG135" s="101"/>
      <c r="BH135" s="487"/>
      <c r="BI135" s="497"/>
      <c r="BJ135" s="496">
        <v>0</v>
      </c>
      <c r="BK135" s="90"/>
      <c r="BL135" s="101"/>
      <c r="BM135" s="487"/>
      <c r="BN135" s="497"/>
      <c r="BO135" s="496">
        <v>0</v>
      </c>
      <c r="BP135" s="90"/>
      <c r="BQ135" s="101"/>
      <c r="BR135" s="487"/>
      <c r="BS135" s="497"/>
      <c r="BT135" s="496">
        <f>SUM(L135:BO135)</f>
        <v>0</v>
      </c>
      <c r="BU135" s="90"/>
      <c r="BV135" s="101"/>
      <c r="BW135" s="398"/>
      <c r="BZ135" s="411"/>
      <c r="CA135" s="411"/>
    </row>
    <row r="136" spans="1:79" ht="12.75" hidden="1" customHeight="1" x14ac:dyDescent="0.2">
      <c r="A136" s="388"/>
      <c r="B136" s="388"/>
      <c r="D136" s="398"/>
      <c r="E136" s="487"/>
      <c r="F136" s="388"/>
      <c r="G136" s="101"/>
      <c r="H136" s="101"/>
      <c r="I136" s="101"/>
      <c r="J136" s="487"/>
      <c r="K136" s="101"/>
      <c r="L136" s="101"/>
      <c r="M136" s="101"/>
      <c r="N136" s="101"/>
      <c r="O136" s="487"/>
      <c r="P136" s="101"/>
      <c r="Q136" s="101"/>
      <c r="R136" s="101"/>
      <c r="S136" s="101"/>
      <c r="T136" s="487"/>
      <c r="U136" s="101"/>
      <c r="V136" s="101"/>
      <c r="W136" s="101"/>
      <c r="X136" s="101"/>
      <c r="Y136" s="487"/>
      <c r="Z136" s="101"/>
      <c r="AA136" s="101"/>
      <c r="AB136" s="101"/>
      <c r="AC136" s="101"/>
      <c r="AD136" s="487"/>
      <c r="AE136" s="101"/>
      <c r="AF136" s="101"/>
      <c r="AG136" s="101"/>
      <c r="AH136" s="101"/>
      <c r="AI136" s="487"/>
      <c r="AJ136" s="101"/>
      <c r="AK136" s="101"/>
      <c r="AL136" s="101"/>
      <c r="AM136" s="101"/>
      <c r="AN136" s="487"/>
      <c r="AO136" s="101"/>
      <c r="AP136" s="101"/>
      <c r="AQ136" s="101"/>
      <c r="AR136" s="101"/>
      <c r="AS136" s="487"/>
      <c r="AT136" s="101"/>
      <c r="AU136" s="101"/>
      <c r="AV136" s="101"/>
      <c r="AW136" s="101"/>
      <c r="AX136" s="487"/>
      <c r="AY136" s="101"/>
      <c r="AZ136" s="101"/>
      <c r="BA136" s="101"/>
      <c r="BB136" s="101"/>
      <c r="BC136" s="487"/>
      <c r="BD136" s="101"/>
      <c r="BE136" s="101"/>
      <c r="BF136" s="101"/>
      <c r="BG136" s="101"/>
      <c r="BH136" s="487"/>
      <c r="BI136" s="101"/>
      <c r="BJ136" s="101"/>
      <c r="BK136" s="101"/>
      <c r="BL136" s="101"/>
      <c r="BM136" s="487"/>
      <c r="BN136" s="101"/>
      <c r="BO136" s="101"/>
      <c r="BP136" s="101"/>
      <c r="BQ136" s="101"/>
      <c r="BR136" s="487"/>
      <c r="BS136" s="101"/>
      <c r="BT136" s="101"/>
      <c r="BU136" s="101"/>
      <c r="BV136" s="101"/>
      <c r="BW136" s="398"/>
      <c r="BZ136" s="411"/>
      <c r="CA136" s="411"/>
    </row>
    <row r="137" spans="1:79" ht="12.75" customHeight="1" x14ac:dyDescent="0.2">
      <c r="A137" s="388"/>
      <c r="B137" s="388"/>
      <c r="D137" s="398" t="s">
        <v>398</v>
      </c>
      <c r="E137" s="487"/>
      <c r="F137" s="388"/>
      <c r="G137" s="101">
        <f>SUM(G138:G141)</f>
        <v>0</v>
      </c>
      <c r="H137" s="101"/>
      <c r="I137" s="101"/>
      <c r="J137" s="487"/>
      <c r="K137" s="101"/>
      <c r="L137" s="101">
        <f>SUM(L138:L141)</f>
        <v>2291175</v>
      </c>
      <c r="M137" s="101"/>
      <c r="N137" s="101"/>
      <c r="O137" s="487"/>
      <c r="P137" s="101"/>
      <c r="Q137" s="101">
        <f>SUM(Q138:Q141)</f>
        <v>0</v>
      </c>
      <c r="R137" s="101"/>
      <c r="S137" s="101"/>
      <c r="T137" s="487"/>
      <c r="U137" s="101"/>
      <c r="V137" s="101">
        <f>SUM(V138:V141)</f>
        <v>0</v>
      </c>
      <c r="W137" s="101"/>
      <c r="X137" s="101"/>
      <c r="Y137" s="487"/>
      <c r="Z137" s="101"/>
      <c r="AA137" s="101">
        <f>SUM(AA138:AA141)</f>
        <v>0</v>
      </c>
      <c r="AB137" s="101"/>
      <c r="AC137" s="101"/>
      <c r="AD137" s="487"/>
      <c r="AE137" s="101"/>
      <c r="AF137" s="101">
        <f>SUM(AF138:AF141)</f>
        <v>0</v>
      </c>
      <c r="AG137" s="101"/>
      <c r="AH137" s="101"/>
      <c r="AI137" s="487"/>
      <c r="AJ137" s="101"/>
      <c r="AK137" s="101">
        <f>SUM(AK138:AK141)</f>
        <v>0</v>
      </c>
      <c r="AL137" s="101"/>
      <c r="AM137" s="101"/>
      <c r="AN137" s="487"/>
      <c r="AO137" s="101"/>
      <c r="AP137" s="101">
        <f>SUM(AP138:AP141)</f>
        <v>0</v>
      </c>
      <c r="AQ137" s="101"/>
      <c r="AR137" s="101"/>
      <c r="AS137" s="487"/>
      <c r="AT137" s="101"/>
      <c r="AU137" s="101">
        <f>SUM(AU138:AU141)</f>
        <v>0</v>
      </c>
      <c r="AV137" s="101"/>
      <c r="AW137" s="101"/>
      <c r="AX137" s="487"/>
      <c r="AY137" s="101"/>
      <c r="AZ137" s="101">
        <f>SUM(AZ138:AZ141)</f>
        <v>0</v>
      </c>
      <c r="BA137" s="101"/>
      <c r="BB137" s="101"/>
      <c r="BC137" s="487"/>
      <c r="BD137" s="101"/>
      <c r="BE137" s="101">
        <f>SUM(BE138:BE141)</f>
        <v>0</v>
      </c>
      <c r="BF137" s="101"/>
      <c r="BG137" s="101"/>
      <c r="BH137" s="487"/>
      <c r="BI137" s="101"/>
      <c r="BJ137" s="101">
        <f>SUM(BJ138:BJ141)</f>
        <v>0</v>
      </c>
      <c r="BK137" s="101"/>
      <c r="BL137" s="101"/>
      <c r="BM137" s="487"/>
      <c r="BN137" s="101"/>
      <c r="BO137" s="101">
        <f>SUM(BO138:BO141)</f>
        <v>0</v>
      </c>
      <c r="BP137" s="101"/>
      <c r="BQ137" s="101"/>
      <c r="BR137" s="487"/>
      <c r="BS137" s="101"/>
      <c r="BT137" s="101">
        <f>SUM(BT138:BT141)</f>
        <v>2291175</v>
      </c>
      <c r="BU137" s="101"/>
      <c r="BV137" s="101"/>
      <c r="BW137" s="398"/>
      <c r="BZ137" s="411"/>
      <c r="CA137" s="411"/>
    </row>
    <row r="138" spans="1:79" ht="12.75" customHeight="1" x14ac:dyDescent="0.2">
      <c r="A138" s="388"/>
      <c r="B138" s="388"/>
      <c r="D138" s="398" t="s">
        <v>373</v>
      </c>
      <c r="E138" s="487"/>
      <c r="F138" s="412"/>
      <c r="G138" s="485">
        <v>0</v>
      </c>
      <c r="H138" s="486"/>
      <c r="I138" s="101"/>
      <c r="J138" s="487"/>
      <c r="K138" s="412"/>
      <c r="L138" s="485">
        <f>1410000-18467+4648</f>
        <v>1396181</v>
      </c>
      <c r="M138" s="486"/>
      <c r="N138" s="101"/>
      <c r="O138" s="487"/>
      <c r="P138" s="488"/>
      <c r="Q138" s="485">
        <v>0</v>
      </c>
      <c r="R138" s="486"/>
      <c r="S138" s="101"/>
      <c r="T138" s="487"/>
      <c r="U138" s="488"/>
      <c r="V138" s="485">
        <v>0</v>
      </c>
      <c r="W138" s="486"/>
      <c r="X138" s="101"/>
      <c r="Y138" s="487"/>
      <c r="Z138" s="488"/>
      <c r="AA138" s="485">
        <v>0</v>
      </c>
      <c r="AB138" s="486"/>
      <c r="AC138" s="101"/>
      <c r="AD138" s="487"/>
      <c r="AE138" s="488"/>
      <c r="AF138" s="485">
        <v>0</v>
      </c>
      <c r="AG138" s="486"/>
      <c r="AH138" s="101"/>
      <c r="AI138" s="487"/>
      <c r="AJ138" s="488"/>
      <c r="AK138" s="485">
        <v>0</v>
      </c>
      <c r="AL138" s="486"/>
      <c r="AM138" s="101"/>
      <c r="AN138" s="487"/>
      <c r="AO138" s="488"/>
      <c r="AP138" s="485">
        <v>0</v>
      </c>
      <c r="AQ138" s="486"/>
      <c r="AR138" s="101"/>
      <c r="AS138" s="487"/>
      <c r="AT138" s="488"/>
      <c r="AU138" s="485">
        <v>0</v>
      </c>
      <c r="AV138" s="486"/>
      <c r="AW138" s="101"/>
      <c r="AX138" s="487"/>
      <c r="AY138" s="488"/>
      <c r="AZ138" s="485">
        <v>0</v>
      </c>
      <c r="BA138" s="486"/>
      <c r="BB138" s="101"/>
      <c r="BC138" s="487"/>
      <c r="BD138" s="488"/>
      <c r="BE138" s="485">
        <v>0</v>
      </c>
      <c r="BF138" s="486"/>
      <c r="BG138" s="101"/>
      <c r="BH138" s="487"/>
      <c r="BI138" s="488"/>
      <c r="BJ138" s="485">
        <v>0</v>
      </c>
      <c r="BK138" s="486"/>
      <c r="BL138" s="101"/>
      <c r="BM138" s="487"/>
      <c r="BN138" s="488"/>
      <c r="BO138" s="485">
        <v>0</v>
      </c>
      <c r="BP138" s="486"/>
      <c r="BQ138" s="101"/>
      <c r="BR138" s="487"/>
      <c r="BS138" s="488"/>
      <c r="BT138" s="485">
        <f>SUM(L138:BO138)</f>
        <v>1396181</v>
      </c>
      <c r="BU138" s="486"/>
      <c r="BV138" s="101"/>
      <c r="BW138" s="398"/>
      <c r="BZ138" s="411"/>
      <c r="CA138" s="411"/>
    </row>
    <row r="139" spans="1:79" ht="12.75" customHeight="1" x14ac:dyDescent="0.2">
      <c r="A139" s="388"/>
      <c r="B139" s="388"/>
      <c r="D139" s="398" t="s">
        <v>375</v>
      </c>
      <c r="E139" s="487"/>
      <c r="F139" s="404"/>
      <c r="G139" s="101">
        <v>0</v>
      </c>
      <c r="H139" s="49"/>
      <c r="I139" s="101"/>
      <c r="J139" s="487"/>
      <c r="K139" s="404"/>
      <c r="L139" s="101">
        <v>18467</v>
      </c>
      <c r="M139" s="49"/>
      <c r="N139" s="101"/>
      <c r="O139" s="487"/>
      <c r="P139" s="487"/>
      <c r="Q139" s="101">
        <v>0</v>
      </c>
      <c r="R139" s="49"/>
      <c r="S139" s="101"/>
      <c r="T139" s="487"/>
      <c r="U139" s="487"/>
      <c r="V139" s="101">
        <v>0</v>
      </c>
      <c r="W139" s="49"/>
      <c r="X139" s="101"/>
      <c r="Y139" s="487"/>
      <c r="Z139" s="487"/>
      <c r="AA139" s="101">
        <v>0</v>
      </c>
      <c r="AB139" s="49"/>
      <c r="AC139" s="101"/>
      <c r="AD139" s="487"/>
      <c r="AE139" s="487"/>
      <c r="AF139" s="101">
        <v>0</v>
      </c>
      <c r="AG139" s="49"/>
      <c r="AH139" s="101"/>
      <c r="AI139" s="487"/>
      <c r="AJ139" s="487"/>
      <c r="AK139" s="101">
        <v>0</v>
      </c>
      <c r="AL139" s="49"/>
      <c r="AM139" s="101"/>
      <c r="AN139" s="487"/>
      <c r="AO139" s="487"/>
      <c r="AP139" s="101">
        <v>0</v>
      </c>
      <c r="AQ139" s="49"/>
      <c r="AR139" s="101"/>
      <c r="AS139" s="487"/>
      <c r="AT139" s="487"/>
      <c r="AU139" s="101">
        <v>0</v>
      </c>
      <c r="AV139" s="49"/>
      <c r="AW139" s="101"/>
      <c r="AX139" s="487"/>
      <c r="AY139" s="487"/>
      <c r="AZ139" s="101">
        <v>0</v>
      </c>
      <c r="BA139" s="49"/>
      <c r="BB139" s="101"/>
      <c r="BC139" s="487"/>
      <c r="BD139" s="487"/>
      <c r="BE139" s="101">
        <v>0</v>
      </c>
      <c r="BF139" s="49"/>
      <c r="BG139" s="101"/>
      <c r="BH139" s="487"/>
      <c r="BI139" s="487"/>
      <c r="BJ139" s="101">
        <v>0</v>
      </c>
      <c r="BK139" s="49"/>
      <c r="BL139" s="101"/>
      <c r="BM139" s="487"/>
      <c r="BN139" s="487"/>
      <c r="BO139" s="101">
        <v>0</v>
      </c>
      <c r="BP139" s="49"/>
      <c r="BQ139" s="101"/>
      <c r="BR139" s="487"/>
      <c r="BS139" s="487"/>
      <c r="BT139" s="101">
        <f>SUM(L139:BO139)</f>
        <v>18467</v>
      </c>
      <c r="BU139" s="49"/>
      <c r="BV139" s="101"/>
      <c r="BW139" s="398"/>
      <c r="BZ139" s="411"/>
      <c r="CA139" s="411"/>
    </row>
    <row r="140" spans="1:79" ht="12.75" customHeight="1" x14ac:dyDescent="0.2">
      <c r="A140" s="388"/>
      <c r="B140" s="388"/>
      <c r="D140" s="398" t="s">
        <v>376</v>
      </c>
      <c r="E140" s="487"/>
      <c r="F140" s="404"/>
      <c r="G140" s="101">
        <v>0</v>
      </c>
      <c r="H140" s="49"/>
      <c r="I140" s="101"/>
      <c r="J140" s="487"/>
      <c r="K140" s="404"/>
      <c r="L140" s="101">
        <v>-4648</v>
      </c>
      <c r="M140" s="49"/>
      <c r="N140" s="101"/>
      <c r="O140" s="487"/>
      <c r="P140" s="487"/>
      <c r="Q140" s="101">
        <v>0</v>
      </c>
      <c r="R140" s="49"/>
      <c r="S140" s="101"/>
      <c r="T140" s="487"/>
      <c r="U140" s="487"/>
      <c r="V140" s="101">
        <v>0</v>
      </c>
      <c r="W140" s="49"/>
      <c r="X140" s="101"/>
      <c r="Y140" s="487"/>
      <c r="Z140" s="487"/>
      <c r="AA140" s="101">
        <v>0</v>
      </c>
      <c r="AB140" s="49"/>
      <c r="AC140" s="101"/>
      <c r="AD140" s="487"/>
      <c r="AE140" s="487"/>
      <c r="AF140" s="101">
        <v>0</v>
      </c>
      <c r="AG140" s="49"/>
      <c r="AH140" s="101"/>
      <c r="AI140" s="487"/>
      <c r="AJ140" s="487"/>
      <c r="AK140" s="101">
        <v>0</v>
      </c>
      <c r="AL140" s="49"/>
      <c r="AM140" s="101"/>
      <c r="AN140" s="487"/>
      <c r="AO140" s="487"/>
      <c r="AP140" s="101">
        <v>0</v>
      </c>
      <c r="AQ140" s="49"/>
      <c r="AR140" s="101"/>
      <c r="AS140" s="487"/>
      <c r="AT140" s="487"/>
      <c r="AU140" s="101">
        <v>0</v>
      </c>
      <c r="AV140" s="49"/>
      <c r="AW140" s="101"/>
      <c r="AX140" s="487"/>
      <c r="AY140" s="487"/>
      <c r="AZ140" s="101">
        <v>0</v>
      </c>
      <c r="BA140" s="49"/>
      <c r="BB140" s="101"/>
      <c r="BC140" s="487"/>
      <c r="BD140" s="487"/>
      <c r="BE140" s="101">
        <v>0</v>
      </c>
      <c r="BF140" s="49"/>
      <c r="BG140" s="101"/>
      <c r="BH140" s="487"/>
      <c r="BI140" s="487"/>
      <c r="BJ140" s="101">
        <v>0</v>
      </c>
      <c r="BK140" s="49"/>
      <c r="BL140" s="101"/>
      <c r="BM140" s="487"/>
      <c r="BN140" s="487"/>
      <c r="BO140" s="101">
        <v>0</v>
      </c>
      <c r="BP140" s="49"/>
      <c r="BQ140" s="101"/>
      <c r="BR140" s="487"/>
      <c r="BS140" s="487"/>
      <c r="BT140" s="101">
        <f>SUM(L140:BO140)</f>
        <v>-4648</v>
      </c>
      <c r="BU140" s="49"/>
      <c r="BV140" s="101"/>
      <c r="BW140" s="398"/>
      <c r="BZ140" s="411"/>
      <c r="CA140" s="411"/>
    </row>
    <row r="141" spans="1:79" ht="12.75" customHeight="1" x14ac:dyDescent="0.2">
      <c r="A141" s="388"/>
      <c r="B141" s="388"/>
      <c r="D141" s="398" t="s">
        <v>377</v>
      </c>
      <c r="F141" s="427"/>
      <c r="G141" s="496">
        <v>0</v>
      </c>
      <c r="H141" s="90"/>
      <c r="I141" s="101"/>
      <c r="J141" s="487"/>
      <c r="K141" s="427"/>
      <c r="L141" s="496">
        <v>881175</v>
      </c>
      <c r="M141" s="90"/>
      <c r="N141" s="101"/>
      <c r="O141" s="487"/>
      <c r="P141" s="497"/>
      <c r="Q141" s="496">
        <v>0</v>
      </c>
      <c r="R141" s="90"/>
      <c r="S141" s="101"/>
      <c r="T141" s="487"/>
      <c r="U141" s="497"/>
      <c r="V141" s="496">
        <v>0</v>
      </c>
      <c r="W141" s="90"/>
      <c r="X141" s="101"/>
      <c r="Y141" s="487"/>
      <c r="Z141" s="497"/>
      <c r="AA141" s="496">
        <v>0</v>
      </c>
      <c r="AB141" s="90"/>
      <c r="AC141" s="101"/>
      <c r="AD141" s="487"/>
      <c r="AE141" s="497"/>
      <c r="AF141" s="496">
        <v>0</v>
      </c>
      <c r="AG141" s="90"/>
      <c r="AH141" s="101"/>
      <c r="AI141" s="487"/>
      <c r="AJ141" s="497"/>
      <c r="AK141" s="496">
        <v>0</v>
      </c>
      <c r="AL141" s="90"/>
      <c r="AM141" s="101"/>
      <c r="AN141" s="487"/>
      <c r="AO141" s="497"/>
      <c r="AP141" s="496">
        <v>0</v>
      </c>
      <c r="AQ141" s="90"/>
      <c r="AR141" s="101"/>
      <c r="AS141" s="487"/>
      <c r="AT141" s="497"/>
      <c r="AU141" s="496">
        <v>0</v>
      </c>
      <c r="AV141" s="90"/>
      <c r="AW141" s="101"/>
      <c r="AX141" s="487"/>
      <c r="AY141" s="497"/>
      <c r="AZ141" s="496">
        <v>0</v>
      </c>
      <c r="BA141" s="90"/>
      <c r="BB141" s="101"/>
      <c r="BC141" s="487"/>
      <c r="BD141" s="497"/>
      <c r="BE141" s="496">
        <v>0</v>
      </c>
      <c r="BF141" s="90"/>
      <c r="BG141" s="101"/>
      <c r="BH141" s="487"/>
      <c r="BI141" s="497"/>
      <c r="BJ141" s="496">
        <v>0</v>
      </c>
      <c r="BK141" s="90"/>
      <c r="BL141" s="101"/>
      <c r="BM141" s="487"/>
      <c r="BN141" s="497"/>
      <c r="BO141" s="496">
        <v>0</v>
      </c>
      <c r="BP141" s="90"/>
      <c r="BQ141" s="101"/>
      <c r="BR141" s="487"/>
      <c r="BS141" s="497"/>
      <c r="BT141" s="496">
        <f>SUM(L141:BO141)</f>
        <v>881175</v>
      </c>
      <c r="BU141" s="90"/>
      <c r="BV141" s="101"/>
      <c r="BW141" s="398"/>
      <c r="BZ141" s="411"/>
      <c r="CA141" s="411"/>
    </row>
    <row r="142" spans="1:79" ht="12.75" customHeight="1" x14ac:dyDescent="0.2">
      <c r="A142" s="388"/>
      <c r="B142" s="388"/>
      <c r="D142" s="398"/>
      <c r="F142" s="388"/>
      <c r="G142" s="101"/>
      <c r="H142" s="101"/>
      <c r="I142" s="101"/>
      <c r="J142" s="487"/>
      <c r="K142" s="101"/>
      <c r="L142" s="101"/>
      <c r="M142" s="101"/>
      <c r="N142" s="101"/>
      <c r="O142" s="487"/>
      <c r="P142" s="101"/>
      <c r="Q142" s="101"/>
      <c r="R142" s="101"/>
      <c r="S142" s="101"/>
      <c r="T142" s="487"/>
      <c r="U142" s="101"/>
      <c r="V142" s="101"/>
      <c r="W142" s="101"/>
      <c r="X142" s="101"/>
      <c r="Y142" s="487"/>
      <c r="Z142" s="101"/>
      <c r="AA142" s="101"/>
      <c r="AB142" s="101"/>
      <c r="AC142" s="101"/>
      <c r="AD142" s="487"/>
      <c r="AE142" s="101"/>
      <c r="AF142" s="101"/>
      <c r="AG142" s="101"/>
      <c r="AH142" s="101"/>
      <c r="AI142" s="487"/>
      <c r="AJ142" s="101"/>
      <c r="AK142" s="101"/>
      <c r="AL142" s="101"/>
      <c r="AM142" s="101"/>
      <c r="AN142" s="487"/>
      <c r="AO142" s="101"/>
      <c r="AP142" s="101"/>
      <c r="AQ142" s="101"/>
      <c r="AR142" s="101"/>
      <c r="AS142" s="487"/>
      <c r="AT142" s="101"/>
      <c r="AU142" s="101"/>
      <c r="AV142" s="101"/>
      <c r="AW142" s="101"/>
      <c r="AX142" s="487"/>
      <c r="AY142" s="101"/>
      <c r="AZ142" s="101"/>
      <c r="BA142" s="101"/>
      <c r="BB142" s="101"/>
      <c r="BC142" s="487"/>
      <c r="BD142" s="101"/>
      <c r="BE142" s="101"/>
      <c r="BF142" s="101"/>
      <c r="BG142" s="101"/>
      <c r="BH142" s="487"/>
      <c r="BI142" s="101"/>
      <c r="BJ142" s="101"/>
      <c r="BK142" s="101"/>
      <c r="BL142" s="101"/>
      <c r="BM142" s="487"/>
      <c r="BN142" s="101"/>
      <c r="BO142" s="101"/>
      <c r="BP142" s="101"/>
      <c r="BQ142" s="101"/>
      <c r="BR142" s="487"/>
      <c r="BS142" s="101"/>
      <c r="BT142" s="101"/>
      <c r="BU142" s="101"/>
      <c r="BV142" s="101"/>
      <c r="BW142" s="398"/>
      <c r="BZ142" s="411"/>
      <c r="CA142" s="411"/>
    </row>
    <row r="143" spans="1:79" ht="12.75" customHeight="1" x14ac:dyDescent="0.2">
      <c r="A143" s="388"/>
      <c r="B143" s="388"/>
      <c r="D143" s="398" t="s">
        <v>399</v>
      </c>
      <c r="F143" s="388"/>
      <c r="G143" s="101">
        <f>SUM(G144:G146)</f>
        <v>0</v>
      </c>
      <c r="H143" s="101"/>
      <c r="I143" s="101"/>
      <c r="J143" s="487"/>
      <c r="K143" s="101"/>
      <c r="L143" s="101">
        <f>SUM(L144:L146)</f>
        <v>0</v>
      </c>
      <c r="M143" s="101"/>
      <c r="N143" s="101"/>
      <c r="O143" s="487"/>
      <c r="P143" s="101"/>
      <c r="Q143" s="101">
        <f>SUM(Q144:Q146)</f>
        <v>0</v>
      </c>
      <c r="R143" s="101"/>
      <c r="S143" s="101"/>
      <c r="T143" s="487"/>
      <c r="U143" s="101"/>
      <c r="V143" s="101">
        <f>SUM(V144:V146)</f>
        <v>0</v>
      </c>
      <c r="W143" s="101"/>
      <c r="X143" s="101"/>
      <c r="Y143" s="487"/>
      <c r="Z143" s="101"/>
      <c r="AA143" s="101">
        <f>SUM(AA144:AA146)</f>
        <v>0</v>
      </c>
      <c r="AB143" s="101"/>
      <c r="AC143" s="101"/>
      <c r="AD143" s="487"/>
      <c r="AE143" s="101"/>
      <c r="AF143" s="101">
        <f>SUM(AF144:AF146)</f>
        <v>0</v>
      </c>
      <c r="AG143" s="101"/>
      <c r="AH143" s="101"/>
      <c r="AI143" s="487"/>
      <c r="AJ143" s="101"/>
      <c r="AK143" s="101">
        <f>SUM(AK144:AK146)</f>
        <v>0</v>
      </c>
      <c r="AL143" s="101"/>
      <c r="AM143" s="101"/>
      <c r="AN143" s="487"/>
      <c r="AO143" s="101"/>
      <c r="AP143" s="101">
        <f>SUM(AP144:AP146)</f>
        <v>0</v>
      </c>
      <c r="AQ143" s="101"/>
      <c r="AR143" s="101"/>
      <c r="AS143" s="487"/>
      <c r="AT143" s="101"/>
      <c r="AU143" s="101">
        <f>SUM(AU144:AU146)</f>
        <v>0</v>
      </c>
      <c r="AV143" s="101"/>
      <c r="AW143" s="101"/>
      <c r="AX143" s="487"/>
      <c r="AY143" s="101"/>
      <c r="AZ143" s="101">
        <f>SUM(AZ144:AZ146)</f>
        <v>3976000</v>
      </c>
      <c r="BA143" s="101"/>
      <c r="BB143" s="101"/>
      <c r="BC143" s="487"/>
      <c r="BD143" s="101"/>
      <c r="BE143" s="101">
        <f>SUM(BE144:BE146)</f>
        <v>0</v>
      </c>
      <c r="BF143" s="101"/>
      <c r="BG143" s="101"/>
      <c r="BH143" s="487"/>
      <c r="BI143" s="101"/>
      <c r="BJ143" s="101">
        <f>SUM(BJ144:BJ146)</f>
        <v>2483</v>
      </c>
      <c r="BK143" s="101"/>
      <c r="BL143" s="101"/>
      <c r="BM143" s="487"/>
      <c r="BN143" s="101"/>
      <c r="BO143" s="101">
        <f>SUM(BO144:BO146)</f>
        <v>6456000</v>
      </c>
      <c r="BP143" s="101"/>
      <c r="BQ143" s="101"/>
      <c r="BR143" s="487"/>
      <c r="BS143" s="101"/>
      <c r="BT143" s="101">
        <f>SUM(BT144:BT146)</f>
        <v>10434483</v>
      </c>
      <c r="BU143" s="101"/>
      <c r="BV143" s="101"/>
      <c r="BW143" s="398"/>
      <c r="BZ143" s="411"/>
      <c r="CA143" s="411"/>
    </row>
    <row r="144" spans="1:79" ht="12.75" customHeight="1" x14ac:dyDescent="0.2">
      <c r="A144" s="388"/>
      <c r="B144" s="388"/>
      <c r="D144" s="398" t="s">
        <v>373</v>
      </c>
      <c r="F144" s="412"/>
      <c r="G144" s="485">
        <v>0</v>
      </c>
      <c r="H144" s="486"/>
      <c r="I144" s="101"/>
      <c r="J144" s="487"/>
      <c r="K144" s="412"/>
      <c r="L144" s="485">
        <v>0</v>
      </c>
      <c r="M144" s="486"/>
      <c r="N144" s="101"/>
      <c r="O144" s="487"/>
      <c r="P144" s="412"/>
      <c r="Q144" s="485">
        <v>0</v>
      </c>
      <c r="R144" s="486"/>
      <c r="S144" s="101"/>
      <c r="T144" s="487"/>
      <c r="U144" s="412"/>
      <c r="V144" s="485">
        <v>0</v>
      </c>
      <c r="W144" s="486"/>
      <c r="X144" s="101"/>
      <c r="Y144" s="487"/>
      <c r="Z144" s="412"/>
      <c r="AA144" s="485">
        <v>0</v>
      </c>
      <c r="AB144" s="486"/>
      <c r="AC144" s="101"/>
      <c r="AD144" s="487"/>
      <c r="AE144" s="412"/>
      <c r="AF144" s="485">
        <v>0</v>
      </c>
      <c r="AG144" s="486"/>
      <c r="AH144" s="101"/>
      <c r="AI144" s="487"/>
      <c r="AJ144" s="412"/>
      <c r="AK144" s="485">
        <v>0</v>
      </c>
      <c r="AL144" s="486"/>
      <c r="AM144" s="101"/>
      <c r="AN144" s="487"/>
      <c r="AO144" s="412"/>
      <c r="AP144" s="485">
        <v>0</v>
      </c>
      <c r="AQ144" s="486"/>
      <c r="AR144" s="101"/>
      <c r="AS144" s="487"/>
      <c r="AT144" s="488"/>
      <c r="AU144" s="485">
        <v>0</v>
      </c>
      <c r="AV144" s="486"/>
      <c r="AW144" s="101"/>
      <c r="AX144" s="487"/>
      <c r="AY144" s="488"/>
      <c r="AZ144" s="485">
        <f>3976000-641745</f>
        <v>3334255</v>
      </c>
      <c r="BA144" s="486"/>
      <c r="BB144" s="101"/>
      <c r="BC144" s="487"/>
      <c r="BD144" s="488"/>
      <c r="BE144" s="485">
        <v>0</v>
      </c>
      <c r="BF144" s="486"/>
      <c r="BG144" s="101"/>
      <c r="BH144" s="487"/>
      <c r="BI144" s="488"/>
      <c r="BJ144" s="485">
        <f>2483-365</f>
        <v>2118</v>
      </c>
      <c r="BK144" s="486"/>
      <c r="BL144" s="101"/>
      <c r="BM144" s="487"/>
      <c r="BN144" s="488"/>
      <c r="BO144" s="485">
        <f>6456000-1144448</f>
        <v>5311552</v>
      </c>
      <c r="BP144" s="486"/>
      <c r="BQ144" s="101"/>
      <c r="BR144" s="487"/>
      <c r="BS144" s="488"/>
      <c r="BT144" s="485">
        <f>SUM(L144:BO144)</f>
        <v>8647925</v>
      </c>
      <c r="BU144" s="486"/>
      <c r="BV144" s="101"/>
      <c r="BW144" s="398"/>
      <c r="BZ144" s="411"/>
      <c r="CA144" s="411"/>
    </row>
    <row r="145" spans="1:79" ht="12.75" customHeight="1" x14ac:dyDescent="0.2">
      <c r="A145" s="388"/>
      <c r="B145" s="388"/>
      <c r="D145" s="398" t="s">
        <v>375</v>
      </c>
      <c r="F145" s="404"/>
      <c r="G145" s="101">
        <v>0</v>
      </c>
      <c r="H145" s="49"/>
      <c r="I145" s="101"/>
      <c r="J145" s="487"/>
      <c r="K145" s="404"/>
      <c r="L145" s="101">
        <v>0</v>
      </c>
      <c r="M145" s="49"/>
      <c r="N145" s="101"/>
      <c r="O145" s="487"/>
      <c r="P145" s="404"/>
      <c r="Q145" s="101">
        <v>0</v>
      </c>
      <c r="R145" s="49"/>
      <c r="S145" s="101"/>
      <c r="T145" s="487"/>
      <c r="U145" s="404"/>
      <c r="V145" s="101">
        <v>0</v>
      </c>
      <c r="W145" s="49"/>
      <c r="X145" s="101"/>
      <c r="Y145" s="487"/>
      <c r="Z145" s="404"/>
      <c r="AA145" s="101">
        <v>0</v>
      </c>
      <c r="AB145" s="49"/>
      <c r="AC145" s="101"/>
      <c r="AD145" s="487"/>
      <c r="AE145" s="404"/>
      <c r="AF145" s="101">
        <v>0</v>
      </c>
      <c r="AG145" s="49"/>
      <c r="AH145" s="101"/>
      <c r="AI145" s="487"/>
      <c r="AJ145" s="404"/>
      <c r="AK145" s="101">
        <v>0</v>
      </c>
      <c r="AL145" s="49"/>
      <c r="AM145" s="101"/>
      <c r="AN145" s="487"/>
      <c r="AO145" s="404"/>
      <c r="AP145" s="101">
        <v>0</v>
      </c>
      <c r="AQ145" s="49"/>
      <c r="AR145" s="101"/>
      <c r="AS145" s="487"/>
      <c r="AT145" s="487"/>
      <c r="AU145" s="101">
        <v>0</v>
      </c>
      <c r="AV145" s="49"/>
      <c r="AW145" s="101"/>
      <c r="AX145" s="487"/>
      <c r="AY145" s="487"/>
      <c r="AZ145" s="101">
        <v>641745</v>
      </c>
      <c r="BA145" s="49"/>
      <c r="BB145" s="101"/>
      <c r="BC145" s="487"/>
      <c r="BD145" s="487"/>
      <c r="BE145" s="101">
        <v>0</v>
      </c>
      <c r="BF145" s="49"/>
      <c r="BG145" s="101"/>
      <c r="BH145" s="487"/>
      <c r="BI145" s="487"/>
      <c r="BJ145" s="101">
        <v>365</v>
      </c>
      <c r="BK145" s="49"/>
      <c r="BL145" s="101"/>
      <c r="BM145" s="487"/>
      <c r="BN145" s="487"/>
      <c r="BO145" s="101">
        <v>1144448</v>
      </c>
      <c r="BP145" s="49"/>
      <c r="BQ145" s="101"/>
      <c r="BR145" s="487"/>
      <c r="BS145" s="487"/>
      <c r="BT145" s="101">
        <f>SUM(L145:BO145)</f>
        <v>1786558</v>
      </c>
      <c r="BU145" s="49"/>
      <c r="BV145" s="101"/>
      <c r="BW145" s="398"/>
      <c r="BZ145" s="411"/>
      <c r="CA145" s="411"/>
    </row>
    <row r="146" spans="1:79" ht="12.75" customHeight="1" x14ac:dyDescent="0.2">
      <c r="A146" s="388"/>
      <c r="B146" s="388"/>
      <c r="D146" s="398" t="s">
        <v>376</v>
      </c>
      <c r="F146" s="427"/>
      <c r="G146" s="496">
        <v>0</v>
      </c>
      <c r="H146" s="90"/>
      <c r="I146" s="101"/>
      <c r="J146" s="487"/>
      <c r="K146" s="427"/>
      <c r="L146" s="496">
        <v>0</v>
      </c>
      <c r="M146" s="90"/>
      <c r="N146" s="101"/>
      <c r="O146" s="487"/>
      <c r="P146" s="427"/>
      <c r="Q146" s="496">
        <v>0</v>
      </c>
      <c r="R146" s="90"/>
      <c r="S146" s="101"/>
      <c r="T146" s="487"/>
      <c r="U146" s="427"/>
      <c r="V146" s="496">
        <v>0</v>
      </c>
      <c r="W146" s="90"/>
      <c r="X146" s="101"/>
      <c r="Y146" s="487"/>
      <c r="Z146" s="427"/>
      <c r="AA146" s="496">
        <v>0</v>
      </c>
      <c r="AB146" s="90"/>
      <c r="AC146" s="101"/>
      <c r="AD146" s="487"/>
      <c r="AE146" s="427"/>
      <c r="AF146" s="496">
        <v>0</v>
      </c>
      <c r="AG146" s="90"/>
      <c r="AH146" s="101"/>
      <c r="AI146" s="487"/>
      <c r="AJ146" s="427"/>
      <c r="AK146" s="496">
        <v>0</v>
      </c>
      <c r="AL146" s="90"/>
      <c r="AM146" s="101"/>
      <c r="AN146" s="487"/>
      <c r="AO146" s="427"/>
      <c r="AP146" s="496">
        <v>0</v>
      </c>
      <c r="AQ146" s="90"/>
      <c r="AR146" s="101"/>
      <c r="AS146" s="487"/>
      <c r="AT146" s="497"/>
      <c r="AU146" s="496">
        <v>0</v>
      </c>
      <c r="AV146" s="90"/>
      <c r="AW146" s="101"/>
      <c r="AX146" s="487"/>
      <c r="AY146" s="497"/>
      <c r="AZ146" s="496">
        <v>0</v>
      </c>
      <c r="BA146" s="90"/>
      <c r="BB146" s="101"/>
      <c r="BC146" s="487"/>
      <c r="BD146" s="497"/>
      <c r="BE146" s="496">
        <v>0</v>
      </c>
      <c r="BF146" s="90"/>
      <c r="BG146" s="101"/>
      <c r="BH146" s="487"/>
      <c r="BI146" s="497"/>
      <c r="BJ146" s="496">
        <v>0</v>
      </c>
      <c r="BK146" s="90"/>
      <c r="BL146" s="101"/>
      <c r="BM146" s="487"/>
      <c r="BN146" s="497"/>
      <c r="BO146" s="496">
        <v>0</v>
      </c>
      <c r="BP146" s="90"/>
      <c r="BQ146" s="101"/>
      <c r="BR146" s="487"/>
      <c r="BS146" s="497"/>
      <c r="BT146" s="496">
        <f>SUM(L146:BO146)</f>
        <v>0</v>
      </c>
      <c r="BU146" s="90"/>
      <c r="BV146" s="101"/>
      <c r="BW146" s="398"/>
      <c r="BZ146" s="411"/>
      <c r="CA146" s="411"/>
    </row>
    <row r="147" spans="1:79" ht="12.75" customHeight="1" x14ac:dyDescent="0.2">
      <c r="A147" s="388"/>
      <c r="B147" s="388"/>
      <c r="D147" s="398"/>
      <c r="F147" s="388"/>
      <c r="G147" s="101"/>
      <c r="H147" s="101"/>
      <c r="I147" s="101"/>
      <c r="J147" s="487"/>
      <c r="K147" s="101"/>
      <c r="L147" s="101"/>
      <c r="M147" s="101"/>
      <c r="N147" s="101"/>
      <c r="O147" s="487"/>
      <c r="P147" s="101"/>
      <c r="Q147" s="101"/>
      <c r="R147" s="101"/>
      <c r="S147" s="101"/>
      <c r="T147" s="487"/>
      <c r="U147" s="101"/>
      <c r="V147" s="101"/>
      <c r="W147" s="101"/>
      <c r="X147" s="101"/>
      <c r="Y147" s="487"/>
      <c r="Z147" s="101"/>
      <c r="AA147" s="101"/>
      <c r="AB147" s="101"/>
      <c r="AC147" s="101"/>
      <c r="AD147" s="487"/>
      <c r="AE147" s="101"/>
      <c r="AF147" s="101"/>
      <c r="AG147" s="101"/>
      <c r="AH147" s="101"/>
      <c r="AI147" s="487"/>
      <c r="AJ147" s="101"/>
      <c r="AK147" s="101"/>
      <c r="AL147" s="101"/>
      <c r="AM147" s="101"/>
      <c r="AN147" s="487"/>
      <c r="AO147" s="101"/>
      <c r="AP147" s="101"/>
      <c r="AQ147" s="101"/>
      <c r="AR147" s="101"/>
      <c r="AS147" s="487"/>
      <c r="AT147" s="101"/>
      <c r="AU147" s="101"/>
      <c r="AV147" s="101"/>
      <c r="AW147" s="101"/>
      <c r="AX147" s="487"/>
      <c r="AY147" s="101"/>
      <c r="AZ147" s="101"/>
      <c r="BA147" s="101"/>
      <c r="BB147" s="101"/>
      <c r="BC147" s="487"/>
      <c r="BD147" s="101"/>
      <c r="BE147" s="101"/>
      <c r="BF147" s="101"/>
      <c r="BG147" s="101"/>
      <c r="BH147" s="487"/>
      <c r="BI147" s="101"/>
      <c r="BJ147" s="101"/>
      <c r="BK147" s="101"/>
      <c r="BL147" s="101"/>
      <c r="BM147" s="487"/>
      <c r="BN147" s="101"/>
      <c r="BO147" s="101"/>
      <c r="BP147" s="101"/>
      <c r="BQ147" s="101"/>
      <c r="BR147" s="487"/>
      <c r="BS147" s="101"/>
      <c r="BT147" s="101"/>
      <c r="BU147" s="101"/>
      <c r="BV147" s="101"/>
      <c r="BW147" s="398"/>
      <c r="BZ147" s="411"/>
      <c r="CA147" s="411"/>
    </row>
    <row r="148" spans="1:79" ht="12.75" customHeight="1" x14ac:dyDescent="0.2">
      <c r="A148" s="388"/>
      <c r="B148" s="388"/>
      <c r="D148" s="398" t="s">
        <v>400</v>
      </c>
      <c r="F148" s="388"/>
      <c r="G148" s="101">
        <f>SUM(G149:G151)</f>
        <v>0</v>
      </c>
      <c r="H148" s="101"/>
      <c r="I148" s="101"/>
      <c r="J148" s="487"/>
      <c r="K148" s="101"/>
      <c r="L148" s="101">
        <f>SUM(L149:L151)</f>
        <v>0</v>
      </c>
      <c r="M148" s="101"/>
      <c r="N148" s="101"/>
      <c r="O148" s="487"/>
      <c r="P148" s="101"/>
      <c r="Q148" s="101">
        <f>SUM(Q149:Q151)</f>
        <v>0</v>
      </c>
      <c r="R148" s="101"/>
      <c r="S148" s="101"/>
      <c r="T148" s="487"/>
      <c r="U148" s="101"/>
      <c r="V148" s="101">
        <f>SUM(V149:V151)</f>
        <v>0</v>
      </c>
      <c r="W148" s="101"/>
      <c r="X148" s="101"/>
      <c r="Y148" s="487"/>
      <c r="Z148" s="101"/>
      <c r="AA148" s="101">
        <f>SUM(AA149:AA151)</f>
        <v>0</v>
      </c>
      <c r="AB148" s="101"/>
      <c r="AC148" s="101"/>
      <c r="AD148" s="487"/>
      <c r="AE148" s="101"/>
      <c r="AF148" s="101">
        <f>SUM(AF149:AF151)</f>
        <v>0</v>
      </c>
      <c r="AG148" s="101"/>
      <c r="AH148" s="101"/>
      <c r="AI148" s="487"/>
      <c r="AJ148" s="101"/>
      <c r="AK148" s="101">
        <f>SUM(AK149:AK151)</f>
        <v>0</v>
      </c>
      <c r="AL148" s="101"/>
      <c r="AM148" s="101"/>
      <c r="AN148" s="487"/>
      <c r="AO148" s="101"/>
      <c r="AP148" s="101">
        <f>SUM(AP149:AP151)</f>
        <v>0</v>
      </c>
      <c r="AQ148" s="101"/>
      <c r="AR148" s="101"/>
      <c r="AS148" s="487"/>
      <c r="AT148" s="101"/>
      <c r="AU148" s="101">
        <f>SUM(AU149:AU151)</f>
        <v>0</v>
      </c>
      <c r="AV148" s="101"/>
      <c r="AW148" s="101"/>
      <c r="AX148" s="487"/>
      <c r="AY148" s="101"/>
      <c r="AZ148" s="101">
        <f>SUM(AZ149:AZ151)</f>
        <v>0</v>
      </c>
      <c r="BA148" s="101"/>
      <c r="BB148" s="101"/>
      <c r="BC148" s="487"/>
      <c r="BD148" s="101"/>
      <c r="BE148" s="101">
        <f>SUM(BE149:BE151)</f>
        <v>0</v>
      </c>
      <c r="BF148" s="101"/>
      <c r="BG148" s="101"/>
      <c r="BH148" s="487"/>
      <c r="BI148" s="101"/>
      <c r="BJ148" s="101">
        <f>SUM(BJ149:BJ151)</f>
        <v>0</v>
      </c>
      <c r="BK148" s="101"/>
      <c r="BL148" s="101"/>
      <c r="BM148" s="487"/>
      <c r="BN148" s="101"/>
      <c r="BO148" s="101">
        <f>SUM(BO149:BO151)</f>
        <v>0</v>
      </c>
      <c r="BP148" s="101"/>
      <c r="BQ148" s="101"/>
      <c r="BR148" s="487"/>
      <c r="BS148" s="101"/>
      <c r="BT148" s="101">
        <f>SUM(BT149:BT151)</f>
        <v>0</v>
      </c>
      <c r="BU148" s="101"/>
      <c r="BV148" s="101"/>
      <c r="BW148" s="398"/>
      <c r="BZ148" s="411"/>
      <c r="CA148" s="411"/>
    </row>
    <row r="149" spans="1:79" ht="12.75" customHeight="1" x14ac:dyDescent="0.2">
      <c r="A149" s="388"/>
      <c r="B149" s="388"/>
      <c r="D149" s="398" t="s">
        <v>373</v>
      </c>
      <c r="F149" s="412"/>
      <c r="G149" s="485">
        <v>0</v>
      </c>
      <c r="H149" s="486"/>
      <c r="I149" s="101"/>
      <c r="J149" s="487"/>
      <c r="K149" s="488"/>
      <c r="L149" s="485">
        <v>0</v>
      </c>
      <c r="M149" s="486"/>
      <c r="N149" s="101"/>
      <c r="O149" s="487"/>
      <c r="P149" s="488"/>
      <c r="Q149" s="485">
        <v>0</v>
      </c>
      <c r="R149" s="486"/>
      <c r="S149" s="101"/>
      <c r="T149" s="487"/>
      <c r="U149" s="488"/>
      <c r="V149" s="485">
        <v>0</v>
      </c>
      <c r="W149" s="486"/>
      <c r="X149" s="101"/>
      <c r="Y149" s="487"/>
      <c r="Z149" s="488"/>
      <c r="AA149" s="485">
        <v>0</v>
      </c>
      <c r="AB149" s="486"/>
      <c r="AC149" s="101"/>
      <c r="AD149" s="487"/>
      <c r="AE149" s="488"/>
      <c r="AF149" s="485">
        <v>0</v>
      </c>
      <c r="AG149" s="486"/>
      <c r="AH149" s="101"/>
      <c r="AI149" s="487"/>
      <c r="AJ149" s="488"/>
      <c r="AK149" s="485">
        <v>0</v>
      </c>
      <c r="AL149" s="486"/>
      <c r="AM149" s="101"/>
      <c r="AN149" s="487"/>
      <c r="AO149" s="488"/>
      <c r="AP149" s="485">
        <v>0</v>
      </c>
      <c r="AQ149" s="486"/>
      <c r="AR149" s="101"/>
      <c r="AS149" s="487"/>
      <c r="AT149" s="488"/>
      <c r="AU149" s="485">
        <v>0</v>
      </c>
      <c r="AV149" s="486"/>
      <c r="AW149" s="101"/>
      <c r="AX149" s="487"/>
      <c r="AY149" s="488"/>
      <c r="AZ149" s="485">
        <v>0</v>
      </c>
      <c r="BA149" s="486"/>
      <c r="BB149" s="101"/>
      <c r="BC149" s="487"/>
      <c r="BD149" s="488"/>
      <c r="BE149" s="485">
        <v>0</v>
      </c>
      <c r="BF149" s="486"/>
      <c r="BG149" s="101"/>
      <c r="BH149" s="487"/>
      <c r="BI149" s="488"/>
      <c r="BJ149" s="485">
        <v>0</v>
      </c>
      <c r="BK149" s="486"/>
      <c r="BL149" s="101"/>
      <c r="BM149" s="487"/>
      <c r="BN149" s="488"/>
      <c r="BO149" s="485">
        <v>0</v>
      </c>
      <c r="BP149" s="486"/>
      <c r="BQ149" s="101"/>
      <c r="BR149" s="487"/>
      <c r="BS149" s="488"/>
      <c r="BT149" s="485">
        <f>SUM(L149:BO149)</f>
        <v>0</v>
      </c>
      <c r="BU149" s="486"/>
      <c r="BV149" s="101"/>
      <c r="BW149" s="398"/>
      <c r="BZ149" s="411"/>
      <c r="CA149" s="411"/>
    </row>
    <row r="150" spans="1:79" ht="12.75" customHeight="1" x14ac:dyDescent="0.2">
      <c r="A150" s="388"/>
      <c r="B150" s="388"/>
      <c r="D150" s="398" t="s">
        <v>375</v>
      </c>
      <c r="F150" s="404"/>
      <c r="G150" s="101">
        <v>0</v>
      </c>
      <c r="H150" s="49"/>
      <c r="I150" s="101"/>
      <c r="J150" s="487"/>
      <c r="K150" s="487"/>
      <c r="L150" s="101">
        <v>0</v>
      </c>
      <c r="M150" s="49"/>
      <c r="N150" s="101"/>
      <c r="O150" s="487"/>
      <c r="P150" s="487"/>
      <c r="Q150" s="101">
        <v>0</v>
      </c>
      <c r="R150" s="49"/>
      <c r="S150" s="101"/>
      <c r="T150" s="487"/>
      <c r="U150" s="487"/>
      <c r="V150" s="101">
        <v>0</v>
      </c>
      <c r="W150" s="49"/>
      <c r="X150" s="101"/>
      <c r="Y150" s="487"/>
      <c r="Z150" s="487"/>
      <c r="AA150" s="101">
        <v>0</v>
      </c>
      <c r="AB150" s="49"/>
      <c r="AC150" s="101"/>
      <c r="AD150" s="487"/>
      <c r="AE150" s="487"/>
      <c r="AF150" s="101">
        <v>0</v>
      </c>
      <c r="AG150" s="49"/>
      <c r="AH150" s="101"/>
      <c r="AI150" s="487"/>
      <c r="AJ150" s="487"/>
      <c r="AK150" s="101">
        <v>0</v>
      </c>
      <c r="AL150" s="49"/>
      <c r="AM150" s="101"/>
      <c r="AN150" s="487"/>
      <c r="AO150" s="487"/>
      <c r="AP150" s="101">
        <v>0</v>
      </c>
      <c r="AQ150" s="49"/>
      <c r="AR150" s="101"/>
      <c r="AS150" s="487"/>
      <c r="AT150" s="487"/>
      <c r="AU150" s="101">
        <v>0</v>
      </c>
      <c r="AV150" s="49"/>
      <c r="AW150" s="101"/>
      <c r="AX150" s="487"/>
      <c r="AY150" s="487"/>
      <c r="AZ150" s="101">
        <v>0</v>
      </c>
      <c r="BA150" s="49"/>
      <c r="BB150" s="101"/>
      <c r="BC150" s="487"/>
      <c r="BD150" s="487"/>
      <c r="BE150" s="101">
        <v>0</v>
      </c>
      <c r="BF150" s="49"/>
      <c r="BG150" s="101"/>
      <c r="BH150" s="487"/>
      <c r="BI150" s="487"/>
      <c r="BJ150" s="101">
        <v>0</v>
      </c>
      <c r="BK150" s="49"/>
      <c r="BL150" s="101"/>
      <c r="BM150" s="487"/>
      <c r="BN150" s="487"/>
      <c r="BO150" s="101">
        <v>0</v>
      </c>
      <c r="BP150" s="49"/>
      <c r="BQ150" s="101"/>
      <c r="BR150" s="487"/>
      <c r="BS150" s="487"/>
      <c r="BT150" s="101">
        <f>SUM(L150:BO150)</f>
        <v>0</v>
      </c>
      <c r="BU150" s="49"/>
      <c r="BV150" s="101"/>
      <c r="BW150" s="398"/>
      <c r="BZ150" s="411"/>
      <c r="CA150" s="411"/>
    </row>
    <row r="151" spans="1:79" ht="12.75" customHeight="1" x14ac:dyDescent="0.2">
      <c r="A151" s="388"/>
      <c r="B151" s="388"/>
      <c r="D151" s="398" t="s">
        <v>376</v>
      </c>
      <c r="F151" s="427"/>
      <c r="G151" s="496">
        <v>0</v>
      </c>
      <c r="H151" s="90"/>
      <c r="I151" s="101"/>
      <c r="J151" s="487"/>
      <c r="K151" s="497"/>
      <c r="L151" s="496">
        <v>0</v>
      </c>
      <c r="M151" s="90"/>
      <c r="N151" s="101"/>
      <c r="O151" s="487"/>
      <c r="P151" s="497"/>
      <c r="Q151" s="496">
        <v>0</v>
      </c>
      <c r="R151" s="90"/>
      <c r="S151" s="101"/>
      <c r="T151" s="487"/>
      <c r="U151" s="497"/>
      <c r="V151" s="496">
        <v>0</v>
      </c>
      <c r="W151" s="90"/>
      <c r="X151" s="101"/>
      <c r="Y151" s="487"/>
      <c r="Z151" s="497"/>
      <c r="AA151" s="496">
        <v>0</v>
      </c>
      <c r="AB151" s="90"/>
      <c r="AC151" s="101"/>
      <c r="AD151" s="487"/>
      <c r="AE151" s="497"/>
      <c r="AF151" s="496">
        <v>0</v>
      </c>
      <c r="AG151" s="90"/>
      <c r="AH151" s="101"/>
      <c r="AI151" s="487"/>
      <c r="AJ151" s="497"/>
      <c r="AK151" s="496">
        <v>0</v>
      </c>
      <c r="AL151" s="90"/>
      <c r="AM151" s="101"/>
      <c r="AN151" s="487"/>
      <c r="AO151" s="497"/>
      <c r="AP151" s="496">
        <v>0</v>
      </c>
      <c r="AQ151" s="90"/>
      <c r="AR151" s="101"/>
      <c r="AS151" s="487"/>
      <c r="AT151" s="497"/>
      <c r="AU151" s="496">
        <v>0</v>
      </c>
      <c r="AV151" s="90"/>
      <c r="AW151" s="101"/>
      <c r="AX151" s="487"/>
      <c r="AY151" s="497"/>
      <c r="AZ151" s="496">
        <v>0</v>
      </c>
      <c r="BA151" s="90"/>
      <c r="BB151" s="101"/>
      <c r="BC151" s="487"/>
      <c r="BD151" s="497"/>
      <c r="BE151" s="496">
        <v>0</v>
      </c>
      <c r="BF151" s="90"/>
      <c r="BG151" s="101"/>
      <c r="BH151" s="487"/>
      <c r="BI151" s="497"/>
      <c r="BJ151" s="496">
        <v>0</v>
      </c>
      <c r="BK151" s="90"/>
      <c r="BL151" s="101"/>
      <c r="BM151" s="487"/>
      <c r="BN151" s="497"/>
      <c r="BO151" s="496">
        <v>0</v>
      </c>
      <c r="BP151" s="90"/>
      <c r="BQ151" s="101"/>
      <c r="BR151" s="487"/>
      <c r="BS151" s="497"/>
      <c r="BT151" s="496">
        <f>SUM(L151:BO151)</f>
        <v>0</v>
      </c>
      <c r="BU151" s="90"/>
      <c r="BV151" s="101"/>
      <c r="BW151" s="398"/>
      <c r="BZ151" s="411"/>
      <c r="CA151" s="411"/>
    </row>
    <row r="152" spans="1:79" ht="12.75" customHeight="1" x14ac:dyDescent="0.2">
      <c r="A152" s="388"/>
      <c r="B152" s="388"/>
      <c r="D152" s="398"/>
      <c r="F152" s="388"/>
      <c r="G152" s="101"/>
      <c r="H152" s="101"/>
      <c r="I152" s="101"/>
      <c r="J152" s="487"/>
      <c r="K152" s="101"/>
      <c r="L152" s="101"/>
      <c r="M152" s="101"/>
      <c r="N152" s="101"/>
      <c r="O152" s="487"/>
      <c r="P152" s="101"/>
      <c r="Q152" s="101"/>
      <c r="R152" s="101"/>
      <c r="S152" s="101"/>
      <c r="T152" s="487"/>
      <c r="U152" s="101"/>
      <c r="V152" s="101"/>
      <c r="W152" s="101"/>
      <c r="X152" s="101"/>
      <c r="Y152" s="487"/>
      <c r="Z152" s="101"/>
      <c r="AA152" s="101"/>
      <c r="AB152" s="101"/>
      <c r="AC152" s="101"/>
      <c r="AD152" s="487"/>
      <c r="AE152" s="101"/>
      <c r="AF152" s="101"/>
      <c r="AG152" s="101"/>
      <c r="AH152" s="101"/>
      <c r="AI152" s="487"/>
      <c r="AJ152" s="101"/>
      <c r="AK152" s="101"/>
      <c r="AL152" s="101"/>
      <c r="AM152" s="101"/>
      <c r="AN152" s="487"/>
      <c r="AO152" s="101"/>
      <c r="AP152" s="101"/>
      <c r="AQ152" s="101"/>
      <c r="AR152" s="101"/>
      <c r="AS152" s="487"/>
      <c r="AT152" s="101"/>
      <c r="AU152" s="101"/>
      <c r="AV152" s="101"/>
      <c r="AW152" s="101"/>
      <c r="AX152" s="487"/>
      <c r="AY152" s="101"/>
      <c r="AZ152" s="101"/>
      <c r="BA152" s="101"/>
      <c r="BB152" s="101"/>
      <c r="BC152" s="487"/>
      <c r="BD152" s="101"/>
      <c r="BE152" s="101"/>
      <c r="BF152" s="101"/>
      <c r="BG152" s="101"/>
      <c r="BH152" s="487"/>
      <c r="BI152" s="101"/>
      <c r="BJ152" s="101"/>
      <c r="BK152" s="101"/>
      <c r="BL152" s="101"/>
      <c r="BM152" s="487"/>
      <c r="BN152" s="101"/>
      <c r="BO152" s="101"/>
      <c r="BP152" s="101"/>
      <c r="BQ152" s="101"/>
      <c r="BR152" s="487"/>
      <c r="BS152" s="101"/>
      <c r="BT152" s="101"/>
      <c r="BU152" s="101"/>
      <c r="BV152" s="101"/>
      <c r="BW152" s="398"/>
      <c r="BZ152" s="411"/>
      <c r="CA152" s="411"/>
    </row>
    <row r="153" spans="1:79" ht="12.75" customHeight="1" x14ac:dyDescent="0.2">
      <c r="A153" s="388"/>
      <c r="B153" s="388"/>
      <c r="D153" s="398" t="s">
        <v>401</v>
      </c>
      <c r="F153" s="388"/>
      <c r="G153" s="101">
        <f>SUM(G154:G156)</f>
        <v>0</v>
      </c>
      <c r="H153" s="101"/>
      <c r="I153" s="101"/>
      <c r="J153" s="487"/>
      <c r="K153" s="101"/>
      <c r="L153" s="101">
        <f>SUM(L154:L156)</f>
        <v>5260000</v>
      </c>
      <c r="M153" s="101"/>
      <c r="N153" s="101"/>
      <c r="O153" s="487"/>
      <c r="P153" s="101"/>
      <c r="Q153" s="101">
        <f>SUM(Q154:Q156)</f>
        <v>6040000</v>
      </c>
      <c r="R153" s="101"/>
      <c r="S153" s="101"/>
      <c r="T153" s="487"/>
      <c r="U153" s="101"/>
      <c r="V153" s="101">
        <f>SUM(V154:V156)</f>
        <v>0</v>
      </c>
      <c r="W153" s="101"/>
      <c r="X153" s="101"/>
      <c r="Y153" s="487"/>
      <c r="Z153" s="101"/>
      <c r="AA153" s="101">
        <f>SUM(AA154:AA156)</f>
        <v>0</v>
      </c>
      <c r="AB153" s="101"/>
      <c r="AC153" s="101"/>
      <c r="AD153" s="487"/>
      <c r="AE153" s="101"/>
      <c r="AF153" s="101">
        <f>SUM(AF154:AF156)</f>
        <v>0</v>
      </c>
      <c r="AG153" s="101"/>
      <c r="AH153" s="101"/>
      <c r="AI153" s="487"/>
      <c r="AJ153" s="101"/>
      <c r="AK153" s="101">
        <f>SUM(AK154:AK156)</f>
        <v>0</v>
      </c>
      <c r="AL153" s="101"/>
      <c r="AM153" s="101"/>
      <c r="AN153" s="487"/>
      <c r="AO153" s="101"/>
      <c r="AP153" s="101">
        <f>SUM(AP154:AP156)</f>
        <v>0</v>
      </c>
      <c r="AQ153" s="101"/>
      <c r="AR153" s="101"/>
      <c r="AS153" s="487"/>
      <c r="AT153" s="101"/>
      <c r="AU153" s="101">
        <f>SUM(AU154:AU156)</f>
        <v>0</v>
      </c>
      <c r="AV153" s="101"/>
      <c r="AW153" s="101"/>
      <c r="AX153" s="487"/>
      <c r="AY153" s="101"/>
      <c r="AZ153" s="101">
        <f>SUM(AZ154:AZ156)</f>
        <v>0</v>
      </c>
      <c r="BA153" s="101"/>
      <c r="BB153" s="101"/>
      <c r="BC153" s="487"/>
      <c r="BD153" s="101"/>
      <c r="BE153" s="101">
        <f>SUM(BE154:BE156)</f>
        <v>0</v>
      </c>
      <c r="BF153" s="101"/>
      <c r="BG153" s="101"/>
      <c r="BH153" s="487"/>
      <c r="BI153" s="101"/>
      <c r="BJ153" s="101">
        <f>SUM(BJ154:BJ156)</f>
        <v>0</v>
      </c>
      <c r="BK153" s="101"/>
      <c r="BL153" s="101"/>
      <c r="BM153" s="487"/>
      <c r="BN153" s="101"/>
      <c r="BO153" s="101">
        <f>SUM(BO154:BO156)</f>
        <v>0</v>
      </c>
      <c r="BP153" s="101"/>
      <c r="BQ153" s="101"/>
      <c r="BR153" s="487"/>
      <c r="BS153" s="101"/>
      <c r="BT153" s="101">
        <f>SUM(BT154:BT156)</f>
        <v>11300000</v>
      </c>
      <c r="BU153" s="101"/>
      <c r="BV153" s="101"/>
      <c r="BW153" s="398"/>
      <c r="BZ153" s="411"/>
      <c r="CA153" s="411"/>
    </row>
    <row r="154" spans="1:79" ht="12.75" customHeight="1" x14ac:dyDescent="0.2">
      <c r="A154" s="388"/>
      <c r="B154" s="388"/>
      <c r="D154" s="398" t="s">
        <v>373</v>
      </c>
      <c r="F154" s="412"/>
      <c r="G154" s="485">
        <v>0</v>
      </c>
      <c r="H154" s="486"/>
      <c r="I154" s="101"/>
      <c r="J154" s="487"/>
      <c r="K154" s="488"/>
      <c r="L154" s="485">
        <f>5260000+82405</f>
        <v>5342405</v>
      </c>
      <c r="M154" s="486"/>
      <c r="N154" s="101"/>
      <c r="O154" s="487"/>
      <c r="P154" s="488"/>
      <c r="Q154" s="485">
        <f>6040000+364741</f>
        <v>6404741</v>
      </c>
      <c r="R154" s="486"/>
      <c r="S154" s="101"/>
      <c r="T154" s="487"/>
      <c r="U154" s="488"/>
      <c r="V154" s="485">
        <v>0</v>
      </c>
      <c r="W154" s="486"/>
      <c r="X154" s="101"/>
      <c r="Y154" s="487"/>
      <c r="Z154" s="488"/>
      <c r="AA154" s="485">
        <v>0</v>
      </c>
      <c r="AB154" s="486"/>
      <c r="AC154" s="101"/>
      <c r="AD154" s="487"/>
      <c r="AE154" s="488"/>
      <c r="AF154" s="485">
        <v>0</v>
      </c>
      <c r="AG154" s="486"/>
      <c r="AH154" s="101"/>
      <c r="AI154" s="487"/>
      <c r="AJ154" s="488"/>
      <c r="AK154" s="485">
        <v>0</v>
      </c>
      <c r="AL154" s="486"/>
      <c r="AM154" s="101"/>
      <c r="AN154" s="487"/>
      <c r="AO154" s="488"/>
      <c r="AP154" s="485">
        <v>0</v>
      </c>
      <c r="AQ154" s="486"/>
      <c r="AR154" s="101"/>
      <c r="AS154" s="487"/>
      <c r="AT154" s="488"/>
      <c r="AU154" s="485">
        <v>0</v>
      </c>
      <c r="AV154" s="486"/>
      <c r="AW154" s="101"/>
      <c r="AX154" s="487"/>
      <c r="AY154" s="488"/>
      <c r="AZ154" s="485">
        <v>0</v>
      </c>
      <c r="BA154" s="486"/>
      <c r="BB154" s="101"/>
      <c r="BC154" s="487"/>
      <c r="BD154" s="488"/>
      <c r="BE154" s="485">
        <v>0</v>
      </c>
      <c r="BF154" s="486"/>
      <c r="BG154" s="101"/>
      <c r="BH154" s="487"/>
      <c r="BI154" s="488"/>
      <c r="BJ154" s="485">
        <v>0</v>
      </c>
      <c r="BK154" s="486"/>
      <c r="BL154" s="101"/>
      <c r="BM154" s="487"/>
      <c r="BN154" s="488"/>
      <c r="BO154" s="485">
        <v>0</v>
      </c>
      <c r="BP154" s="486"/>
      <c r="BQ154" s="101"/>
      <c r="BR154" s="487"/>
      <c r="BS154" s="488"/>
      <c r="BT154" s="485">
        <f>SUM(L154:BO154)</f>
        <v>11747146</v>
      </c>
      <c r="BU154" s="486"/>
      <c r="BV154" s="101"/>
      <c r="BW154" s="398"/>
      <c r="BZ154" s="411"/>
      <c r="CA154" s="411"/>
    </row>
    <row r="155" spans="1:79" ht="12.75" customHeight="1" x14ac:dyDescent="0.2">
      <c r="A155" s="388"/>
      <c r="B155" s="388"/>
      <c r="D155" s="398" t="s">
        <v>375</v>
      </c>
      <c r="F155" s="404"/>
      <c r="G155" s="101">
        <v>0</v>
      </c>
      <c r="H155" s="49"/>
      <c r="I155" s="101"/>
      <c r="J155" s="487"/>
      <c r="K155" s="487"/>
      <c r="L155" s="101">
        <v>0</v>
      </c>
      <c r="M155" s="49"/>
      <c r="N155" s="101"/>
      <c r="O155" s="487"/>
      <c r="P155" s="487"/>
      <c r="Q155" s="101">
        <v>0</v>
      </c>
      <c r="R155" s="49"/>
      <c r="S155" s="101"/>
      <c r="T155" s="487"/>
      <c r="U155" s="487"/>
      <c r="V155" s="101">
        <v>0</v>
      </c>
      <c r="W155" s="49"/>
      <c r="X155" s="101"/>
      <c r="Y155" s="487"/>
      <c r="Z155" s="487"/>
      <c r="AA155" s="101">
        <v>0</v>
      </c>
      <c r="AB155" s="49"/>
      <c r="AC155" s="101"/>
      <c r="AD155" s="487"/>
      <c r="AE155" s="487"/>
      <c r="AF155" s="101">
        <v>0</v>
      </c>
      <c r="AG155" s="49"/>
      <c r="AH155" s="101"/>
      <c r="AI155" s="487"/>
      <c r="AJ155" s="487"/>
      <c r="AK155" s="101">
        <v>0</v>
      </c>
      <c r="AL155" s="49"/>
      <c r="AM155" s="101"/>
      <c r="AN155" s="487"/>
      <c r="AO155" s="487"/>
      <c r="AP155" s="101">
        <v>0</v>
      </c>
      <c r="AQ155" s="49"/>
      <c r="AR155" s="101"/>
      <c r="AS155" s="487"/>
      <c r="AT155" s="487"/>
      <c r="AU155" s="101">
        <v>0</v>
      </c>
      <c r="AV155" s="49"/>
      <c r="AW155" s="101"/>
      <c r="AX155" s="487"/>
      <c r="AY155" s="487"/>
      <c r="AZ155" s="101">
        <v>0</v>
      </c>
      <c r="BA155" s="49"/>
      <c r="BB155" s="101"/>
      <c r="BC155" s="487"/>
      <c r="BD155" s="487"/>
      <c r="BE155" s="101">
        <v>0</v>
      </c>
      <c r="BF155" s="49"/>
      <c r="BG155" s="101"/>
      <c r="BH155" s="487"/>
      <c r="BI155" s="487"/>
      <c r="BJ155" s="101">
        <v>0</v>
      </c>
      <c r="BK155" s="49"/>
      <c r="BL155" s="101"/>
      <c r="BM155" s="487"/>
      <c r="BN155" s="487"/>
      <c r="BO155" s="101">
        <v>0</v>
      </c>
      <c r="BP155" s="49"/>
      <c r="BQ155" s="101"/>
      <c r="BR155" s="487"/>
      <c r="BS155" s="487"/>
      <c r="BT155" s="101">
        <f>SUM(L155:BO155)</f>
        <v>0</v>
      </c>
      <c r="BU155" s="49"/>
      <c r="BV155" s="101"/>
      <c r="BW155" s="398"/>
      <c r="BZ155" s="411"/>
      <c r="CA155" s="411"/>
    </row>
    <row r="156" spans="1:79" ht="12.75" customHeight="1" x14ac:dyDescent="0.2">
      <c r="A156" s="388"/>
      <c r="B156" s="388"/>
      <c r="D156" s="398" t="s">
        <v>376</v>
      </c>
      <c r="F156" s="427"/>
      <c r="G156" s="496">
        <v>0</v>
      </c>
      <c r="H156" s="90"/>
      <c r="I156" s="101"/>
      <c r="J156" s="487"/>
      <c r="K156" s="497"/>
      <c r="L156" s="496">
        <v>-82405</v>
      </c>
      <c r="M156" s="90"/>
      <c r="N156" s="101"/>
      <c r="O156" s="487"/>
      <c r="P156" s="497"/>
      <c r="Q156" s="496">
        <v>-364741</v>
      </c>
      <c r="R156" s="90"/>
      <c r="S156" s="101"/>
      <c r="T156" s="487"/>
      <c r="U156" s="497"/>
      <c r="V156" s="496">
        <v>0</v>
      </c>
      <c r="W156" s="90"/>
      <c r="X156" s="101"/>
      <c r="Y156" s="487"/>
      <c r="Z156" s="497"/>
      <c r="AA156" s="496">
        <v>0</v>
      </c>
      <c r="AB156" s="90"/>
      <c r="AC156" s="101"/>
      <c r="AD156" s="487"/>
      <c r="AE156" s="497"/>
      <c r="AF156" s="496">
        <v>0</v>
      </c>
      <c r="AG156" s="90"/>
      <c r="AH156" s="101"/>
      <c r="AI156" s="487"/>
      <c r="AJ156" s="497"/>
      <c r="AK156" s="496">
        <v>0</v>
      </c>
      <c r="AL156" s="90"/>
      <c r="AM156" s="101"/>
      <c r="AN156" s="487"/>
      <c r="AO156" s="497"/>
      <c r="AP156" s="496">
        <v>0</v>
      </c>
      <c r="AQ156" s="90"/>
      <c r="AR156" s="101"/>
      <c r="AS156" s="487"/>
      <c r="AT156" s="497"/>
      <c r="AU156" s="496">
        <v>0</v>
      </c>
      <c r="AV156" s="90"/>
      <c r="AW156" s="101"/>
      <c r="AX156" s="487"/>
      <c r="AY156" s="497"/>
      <c r="AZ156" s="496">
        <v>0</v>
      </c>
      <c r="BA156" s="90"/>
      <c r="BB156" s="101"/>
      <c r="BC156" s="487"/>
      <c r="BD156" s="497"/>
      <c r="BE156" s="496">
        <v>0</v>
      </c>
      <c r="BF156" s="90"/>
      <c r="BG156" s="101"/>
      <c r="BH156" s="487"/>
      <c r="BI156" s="497"/>
      <c r="BJ156" s="496">
        <v>0</v>
      </c>
      <c r="BK156" s="90"/>
      <c r="BL156" s="101"/>
      <c r="BM156" s="487"/>
      <c r="BN156" s="497"/>
      <c r="BO156" s="496">
        <v>0</v>
      </c>
      <c r="BP156" s="90"/>
      <c r="BQ156" s="101"/>
      <c r="BR156" s="487"/>
      <c r="BS156" s="497"/>
      <c r="BT156" s="496">
        <f>SUM(L156:BO156)</f>
        <v>-447146</v>
      </c>
      <c r="BU156" s="90"/>
      <c r="BV156" s="101"/>
      <c r="BW156" s="398"/>
      <c r="BZ156" s="411"/>
      <c r="CA156" s="411"/>
    </row>
    <row r="157" spans="1:79" ht="12.75" customHeight="1" x14ac:dyDescent="0.2">
      <c r="A157" s="388"/>
      <c r="B157" s="388"/>
      <c r="D157" s="398"/>
      <c r="F157" s="388"/>
      <c r="G157" s="101"/>
      <c r="H157" s="101"/>
      <c r="I157" s="101"/>
      <c r="J157" s="487"/>
      <c r="K157" s="101"/>
      <c r="L157" s="101"/>
      <c r="M157" s="101"/>
      <c r="N157" s="101"/>
      <c r="O157" s="487"/>
      <c r="P157" s="101"/>
      <c r="Q157" s="101"/>
      <c r="R157" s="101"/>
      <c r="S157" s="101"/>
      <c r="T157" s="487"/>
      <c r="U157" s="101"/>
      <c r="V157" s="101"/>
      <c r="W157" s="101"/>
      <c r="X157" s="101"/>
      <c r="Y157" s="487"/>
      <c r="Z157" s="101"/>
      <c r="AA157" s="101"/>
      <c r="AB157" s="101"/>
      <c r="AC157" s="101"/>
      <c r="AD157" s="487"/>
      <c r="AE157" s="101"/>
      <c r="AF157" s="101"/>
      <c r="AG157" s="101"/>
      <c r="AH157" s="101"/>
      <c r="AI157" s="487"/>
      <c r="AJ157" s="101"/>
      <c r="AK157" s="101"/>
      <c r="AL157" s="101"/>
      <c r="AM157" s="101"/>
      <c r="AN157" s="487"/>
      <c r="AO157" s="101"/>
      <c r="AP157" s="101"/>
      <c r="AQ157" s="101"/>
      <c r="AR157" s="101"/>
      <c r="AS157" s="487"/>
      <c r="AT157" s="101"/>
      <c r="AU157" s="101"/>
      <c r="AV157" s="101"/>
      <c r="AW157" s="101"/>
      <c r="AX157" s="487"/>
      <c r="AY157" s="101"/>
      <c r="AZ157" s="101"/>
      <c r="BA157" s="101"/>
      <c r="BB157" s="101"/>
      <c r="BC157" s="487"/>
      <c r="BD157" s="101"/>
      <c r="BE157" s="101"/>
      <c r="BF157" s="101"/>
      <c r="BG157" s="101"/>
      <c r="BH157" s="487"/>
      <c r="BI157" s="101"/>
      <c r="BJ157" s="101"/>
      <c r="BK157" s="101"/>
      <c r="BL157" s="101"/>
      <c r="BM157" s="487"/>
      <c r="BN157" s="101"/>
      <c r="BO157" s="101"/>
      <c r="BP157" s="101"/>
      <c r="BQ157" s="101"/>
      <c r="BR157" s="487"/>
      <c r="BS157" s="101"/>
      <c r="BT157" s="101"/>
      <c r="BU157" s="101"/>
      <c r="BV157" s="101"/>
      <c r="BW157" s="398"/>
      <c r="BZ157" s="411"/>
      <c r="CA157" s="411"/>
    </row>
    <row r="158" spans="1:79" ht="12.75" customHeight="1" x14ac:dyDescent="0.2">
      <c r="A158" s="388"/>
      <c r="B158" s="388"/>
      <c r="D158" s="398" t="s">
        <v>402</v>
      </c>
      <c r="F158" s="388"/>
      <c r="G158" s="101">
        <f>SUM(G159:G161)</f>
        <v>0</v>
      </c>
      <c r="H158" s="101"/>
      <c r="I158" s="101"/>
      <c r="J158" s="487"/>
      <c r="K158" s="101"/>
      <c r="L158" s="101">
        <f>SUM(L159:L161)</f>
        <v>6792000</v>
      </c>
      <c r="M158" s="101"/>
      <c r="N158" s="101"/>
      <c r="O158" s="487"/>
      <c r="P158" s="101"/>
      <c r="Q158" s="101">
        <f>SUM(Q159:Q161)</f>
        <v>11547000</v>
      </c>
      <c r="R158" s="101"/>
      <c r="S158" s="101"/>
      <c r="T158" s="487"/>
      <c r="U158" s="101"/>
      <c r="V158" s="101">
        <f>SUM(V159:V161)</f>
        <v>15028000</v>
      </c>
      <c r="W158" s="101"/>
      <c r="X158" s="101"/>
      <c r="Y158" s="487"/>
      <c r="Z158" s="101"/>
      <c r="AA158" s="101">
        <f>SUM(AA159:AA161)</f>
        <v>14865000</v>
      </c>
      <c r="AB158" s="101"/>
      <c r="AC158" s="101"/>
      <c r="AD158" s="487"/>
      <c r="AE158" s="101"/>
      <c r="AF158" s="101">
        <f>SUM(AF159:AF161)</f>
        <v>2200000</v>
      </c>
      <c r="AG158" s="101"/>
      <c r="AH158" s="101"/>
      <c r="AI158" s="487"/>
      <c r="AJ158" s="101"/>
      <c r="AK158" s="101">
        <f>SUM(AK159:AK161)</f>
        <v>3111000</v>
      </c>
      <c r="AL158" s="101"/>
      <c r="AM158" s="101"/>
      <c r="AN158" s="487"/>
      <c r="AO158" s="101"/>
      <c r="AP158" s="101">
        <f>SUM(AP159:AP161)</f>
        <v>11827000</v>
      </c>
      <c r="AQ158" s="101"/>
      <c r="AR158" s="101"/>
      <c r="AS158" s="487"/>
      <c r="AT158" s="101"/>
      <c r="AU158" s="101">
        <f>SUM(AU159:AU161)</f>
        <v>8851000</v>
      </c>
      <c r="AV158" s="101"/>
      <c r="AW158" s="101"/>
      <c r="AX158" s="487"/>
      <c r="AY158" s="101"/>
      <c r="AZ158" s="101">
        <f>SUM(AZ159:AZ161)</f>
        <v>6551000</v>
      </c>
      <c r="BA158" s="101"/>
      <c r="BB158" s="101"/>
      <c r="BC158" s="487"/>
      <c r="BD158" s="101"/>
      <c r="BE158" s="101">
        <f>SUM(BE159:BE161)</f>
        <v>6603000</v>
      </c>
      <c r="BF158" s="101"/>
      <c r="BG158" s="101"/>
      <c r="BH158" s="487"/>
      <c r="BI158" s="101"/>
      <c r="BJ158" s="101">
        <f>SUM(BJ159:BJ161)</f>
        <v>2201527</v>
      </c>
      <c r="BK158" s="101"/>
      <c r="BL158" s="101"/>
      <c r="BM158" s="487"/>
      <c r="BN158" s="101"/>
      <c r="BO158" s="101">
        <f>SUM(BO159:BO161)</f>
        <v>5108000</v>
      </c>
      <c r="BP158" s="101"/>
      <c r="BQ158" s="101"/>
      <c r="BR158" s="487"/>
      <c r="BS158" s="101"/>
      <c r="BT158" s="101">
        <f>SUM(BT159:BT161)</f>
        <v>94684527</v>
      </c>
      <c r="BU158" s="101"/>
      <c r="BV158" s="101"/>
      <c r="BW158" s="398"/>
      <c r="BZ158" s="411"/>
      <c r="CA158" s="411"/>
    </row>
    <row r="159" spans="1:79" ht="12.75" customHeight="1" x14ac:dyDescent="0.2">
      <c r="A159" s="388"/>
      <c r="B159" s="388"/>
      <c r="D159" s="398" t="s">
        <v>373</v>
      </c>
      <c r="F159" s="412"/>
      <c r="G159" s="485">
        <v>0</v>
      </c>
      <c r="H159" s="486"/>
      <c r="I159" s="101"/>
      <c r="J159" s="487"/>
      <c r="K159" s="488"/>
      <c r="L159" s="485">
        <f>6792000-1194431</f>
        <v>5597569</v>
      </c>
      <c r="M159" s="486"/>
      <c r="N159" s="101"/>
      <c r="O159" s="487"/>
      <c r="P159" s="488"/>
      <c r="Q159" s="485">
        <f>11547000-1251316</f>
        <v>10295684</v>
      </c>
      <c r="R159" s="486"/>
      <c r="S159" s="101"/>
      <c r="T159" s="487"/>
      <c r="U159" s="488"/>
      <c r="V159" s="485">
        <f>15028000-993433</f>
        <v>14034567</v>
      </c>
      <c r="W159" s="486"/>
      <c r="X159" s="101"/>
      <c r="Y159" s="487"/>
      <c r="Z159" s="488"/>
      <c r="AA159" s="485">
        <f>14865000-1307191</f>
        <v>13557809</v>
      </c>
      <c r="AB159" s="486"/>
      <c r="AC159" s="101"/>
      <c r="AD159" s="487"/>
      <c r="AE159" s="488"/>
      <c r="AF159" s="485">
        <f>2200000-172161</f>
        <v>2027839</v>
      </c>
      <c r="AG159" s="486"/>
      <c r="AH159" s="101"/>
      <c r="AI159" s="487"/>
      <c r="AJ159" s="488"/>
      <c r="AK159" s="485">
        <f>3111000-234069</f>
        <v>2876931</v>
      </c>
      <c r="AL159" s="486"/>
      <c r="AM159" s="101"/>
      <c r="AN159" s="487"/>
      <c r="AO159" s="488"/>
      <c r="AP159" s="485">
        <f>11827000-1025025</f>
        <v>10801975</v>
      </c>
      <c r="AQ159" s="486"/>
      <c r="AR159" s="101"/>
      <c r="AS159" s="487"/>
      <c r="AT159" s="488"/>
      <c r="AU159" s="485">
        <f>8851000-578195</f>
        <v>8272805</v>
      </c>
      <c r="AV159" s="486"/>
      <c r="AW159" s="101"/>
      <c r="AX159" s="487"/>
      <c r="AY159" s="488"/>
      <c r="AZ159" s="485">
        <f>6551000-320116</f>
        <v>6230884</v>
      </c>
      <c r="BA159" s="486"/>
      <c r="BB159" s="101"/>
      <c r="BC159" s="487"/>
      <c r="BD159" s="488"/>
      <c r="BE159" s="485">
        <f>6603000-320584</f>
        <v>6282416</v>
      </c>
      <c r="BF159" s="486"/>
      <c r="BG159" s="101"/>
      <c r="BH159" s="487"/>
      <c r="BI159" s="488"/>
      <c r="BJ159" s="485">
        <f>2201527-108560</f>
        <v>2092967</v>
      </c>
      <c r="BK159" s="486"/>
      <c r="BL159" s="101"/>
      <c r="BM159" s="487"/>
      <c r="BN159" s="488"/>
      <c r="BO159" s="485">
        <f>5108000-419145</f>
        <v>4688855</v>
      </c>
      <c r="BP159" s="486"/>
      <c r="BQ159" s="101"/>
      <c r="BR159" s="487"/>
      <c r="BS159" s="488"/>
      <c r="BT159" s="485">
        <f>SUM(L159:BO159)</f>
        <v>86760301</v>
      </c>
      <c r="BU159" s="486"/>
      <c r="BV159" s="101"/>
      <c r="BW159" s="398"/>
      <c r="BZ159" s="411"/>
      <c r="CA159" s="411"/>
    </row>
    <row r="160" spans="1:79" ht="12.75" customHeight="1" x14ac:dyDescent="0.2">
      <c r="A160" s="388"/>
      <c r="B160" s="388"/>
      <c r="D160" s="398" t="s">
        <v>375</v>
      </c>
      <c r="F160" s="404"/>
      <c r="G160" s="101">
        <v>0</v>
      </c>
      <c r="H160" s="49"/>
      <c r="I160" s="101"/>
      <c r="J160" s="487"/>
      <c r="K160" s="487"/>
      <c r="L160" s="101">
        <v>1194431</v>
      </c>
      <c r="M160" s="49"/>
      <c r="N160" s="101"/>
      <c r="O160" s="487"/>
      <c r="P160" s="487"/>
      <c r="Q160" s="101">
        <v>1251316</v>
      </c>
      <c r="R160" s="49"/>
      <c r="S160" s="101"/>
      <c r="T160" s="487"/>
      <c r="U160" s="487"/>
      <c r="V160" s="101">
        <v>993433</v>
      </c>
      <c r="W160" s="49"/>
      <c r="X160" s="101"/>
      <c r="Y160" s="487"/>
      <c r="Z160" s="487"/>
      <c r="AA160" s="101">
        <v>1307191</v>
      </c>
      <c r="AB160" s="49"/>
      <c r="AC160" s="101"/>
      <c r="AD160" s="487"/>
      <c r="AE160" s="487"/>
      <c r="AF160" s="101">
        <v>172161</v>
      </c>
      <c r="AG160" s="49"/>
      <c r="AH160" s="101"/>
      <c r="AI160" s="487"/>
      <c r="AJ160" s="487"/>
      <c r="AK160" s="101">
        <v>234069</v>
      </c>
      <c r="AL160" s="49"/>
      <c r="AM160" s="101"/>
      <c r="AN160" s="487"/>
      <c r="AO160" s="487"/>
      <c r="AP160" s="101">
        <v>1025025</v>
      </c>
      <c r="AQ160" s="49"/>
      <c r="AR160" s="101"/>
      <c r="AS160" s="487"/>
      <c r="AT160" s="487"/>
      <c r="AU160" s="101">
        <v>578195</v>
      </c>
      <c r="AV160" s="49"/>
      <c r="AW160" s="101"/>
      <c r="AX160" s="487"/>
      <c r="AY160" s="487"/>
      <c r="AZ160" s="101">
        <v>320116</v>
      </c>
      <c r="BA160" s="49"/>
      <c r="BB160" s="101"/>
      <c r="BC160" s="487"/>
      <c r="BD160" s="487"/>
      <c r="BE160" s="101">
        <v>320584</v>
      </c>
      <c r="BF160" s="49"/>
      <c r="BG160" s="101"/>
      <c r="BH160" s="487"/>
      <c r="BI160" s="487"/>
      <c r="BJ160" s="101">
        <v>108560</v>
      </c>
      <c r="BK160" s="49"/>
      <c r="BL160" s="101"/>
      <c r="BM160" s="487"/>
      <c r="BN160" s="487"/>
      <c r="BO160" s="101">
        <v>419145</v>
      </c>
      <c r="BP160" s="49"/>
      <c r="BQ160" s="101"/>
      <c r="BR160" s="487"/>
      <c r="BS160" s="487"/>
      <c r="BT160" s="101">
        <f>SUM(L160:BO160)</f>
        <v>7924226</v>
      </c>
      <c r="BU160" s="49"/>
      <c r="BV160" s="101"/>
      <c r="BW160" s="398"/>
      <c r="BZ160" s="411"/>
      <c r="CA160" s="411"/>
    </row>
    <row r="161" spans="1:79" ht="12.75" customHeight="1" x14ac:dyDescent="0.2">
      <c r="A161" s="388"/>
      <c r="B161" s="388"/>
      <c r="D161" s="398" t="s">
        <v>376</v>
      </c>
      <c r="F161" s="427"/>
      <c r="G161" s="496">
        <v>0</v>
      </c>
      <c r="H161" s="90"/>
      <c r="I161" s="101"/>
      <c r="J161" s="487"/>
      <c r="K161" s="497"/>
      <c r="L161" s="496">
        <v>0</v>
      </c>
      <c r="M161" s="90"/>
      <c r="N161" s="101"/>
      <c r="O161" s="487"/>
      <c r="P161" s="497"/>
      <c r="Q161" s="496">
        <v>0</v>
      </c>
      <c r="R161" s="90"/>
      <c r="S161" s="101"/>
      <c r="T161" s="487"/>
      <c r="U161" s="497"/>
      <c r="V161" s="496">
        <v>0</v>
      </c>
      <c r="W161" s="90"/>
      <c r="X161" s="101"/>
      <c r="Y161" s="487"/>
      <c r="Z161" s="497"/>
      <c r="AA161" s="496">
        <v>0</v>
      </c>
      <c r="AB161" s="90"/>
      <c r="AC161" s="101"/>
      <c r="AD161" s="487"/>
      <c r="AE161" s="497"/>
      <c r="AF161" s="496">
        <v>0</v>
      </c>
      <c r="AG161" s="90"/>
      <c r="AH161" s="101"/>
      <c r="AI161" s="487"/>
      <c r="AJ161" s="497"/>
      <c r="AK161" s="496">
        <v>0</v>
      </c>
      <c r="AL161" s="90"/>
      <c r="AM161" s="101"/>
      <c r="AN161" s="487"/>
      <c r="AO161" s="497"/>
      <c r="AP161" s="496">
        <v>0</v>
      </c>
      <c r="AQ161" s="90"/>
      <c r="AR161" s="101"/>
      <c r="AS161" s="487"/>
      <c r="AT161" s="497"/>
      <c r="AU161" s="496">
        <v>0</v>
      </c>
      <c r="AV161" s="90"/>
      <c r="AW161" s="101"/>
      <c r="AX161" s="487"/>
      <c r="AY161" s="497"/>
      <c r="AZ161" s="496">
        <v>0</v>
      </c>
      <c r="BA161" s="90"/>
      <c r="BB161" s="101"/>
      <c r="BC161" s="487"/>
      <c r="BD161" s="497"/>
      <c r="BE161" s="496">
        <v>0</v>
      </c>
      <c r="BF161" s="90"/>
      <c r="BG161" s="101"/>
      <c r="BH161" s="487"/>
      <c r="BI161" s="497"/>
      <c r="BJ161" s="496">
        <v>0</v>
      </c>
      <c r="BK161" s="90"/>
      <c r="BL161" s="101"/>
      <c r="BM161" s="487"/>
      <c r="BN161" s="497"/>
      <c r="BO161" s="496">
        <v>0</v>
      </c>
      <c r="BP161" s="90"/>
      <c r="BQ161" s="101"/>
      <c r="BR161" s="487"/>
      <c r="BS161" s="497"/>
      <c r="BT161" s="496">
        <f>SUM(L161:BO161)</f>
        <v>0</v>
      </c>
      <c r="BU161" s="90"/>
      <c r="BV161" s="101"/>
      <c r="BW161" s="398"/>
      <c r="BZ161" s="411"/>
      <c r="CA161" s="411"/>
    </row>
    <row r="162" spans="1:79" ht="12.75" customHeight="1" x14ac:dyDescent="0.2">
      <c r="A162" s="388"/>
      <c r="B162" s="388"/>
      <c r="D162" s="398"/>
      <c r="F162" s="388"/>
      <c r="G162" s="101"/>
      <c r="H162" s="101"/>
      <c r="I162" s="101"/>
      <c r="J162" s="487"/>
      <c r="K162" s="101"/>
      <c r="L162" s="101"/>
      <c r="M162" s="101"/>
      <c r="N162" s="101"/>
      <c r="O162" s="487"/>
      <c r="P162" s="101"/>
      <c r="Q162" s="101"/>
      <c r="R162" s="101"/>
      <c r="S162" s="101"/>
      <c r="T162" s="487"/>
      <c r="U162" s="101"/>
      <c r="V162" s="101"/>
      <c r="W162" s="101"/>
      <c r="X162" s="101"/>
      <c r="Y162" s="487"/>
      <c r="Z162" s="101"/>
      <c r="AA162" s="101"/>
      <c r="AB162" s="101"/>
      <c r="AC162" s="101"/>
      <c r="AD162" s="487"/>
      <c r="AE162" s="101"/>
      <c r="AF162" s="101"/>
      <c r="AG162" s="101"/>
      <c r="AH162" s="101"/>
      <c r="AI162" s="487"/>
      <c r="AJ162" s="101"/>
      <c r="AK162" s="101"/>
      <c r="AL162" s="101"/>
      <c r="AM162" s="101"/>
      <c r="AN162" s="487"/>
      <c r="AO162" s="101"/>
      <c r="AP162" s="101"/>
      <c r="AQ162" s="101"/>
      <c r="AR162" s="101"/>
      <c r="AS162" s="487"/>
      <c r="AT162" s="101"/>
      <c r="AU162" s="101"/>
      <c r="AV162" s="101"/>
      <c r="AW162" s="101"/>
      <c r="AX162" s="487"/>
      <c r="AY162" s="101"/>
      <c r="AZ162" s="101"/>
      <c r="BA162" s="101"/>
      <c r="BB162" s="101"/>
      <c r="BC162" s="487"/>
      <c r="BD162" s="101"/>
      <c r="BE162" s="101"/>
      <c r="BF162" s="101"/>
      <c r="BG162" s="101"/>
      <c r="BH162" s="487"/>
      <c r="BI162" s="101"/>
      <c r="BJ162" s="101"/>
      <c r="BK162" s="101"/>
      <c r="BL162" s="101"/>
      <c r="BM162" s="487"/>
      <c r="BN162" s="101"/>
      <c r="BO162" s="101"/>
      <c r="BP162" s="101"/>
      <c r="BQ162" s="101"/>
      <c r="BR162" s="487"/>
      <c r="BS162" s="101"/>
      <c r="BT162" s="101"/>
      <c r="BU162" s="101"/>
      <c r="BV162" s="101"/>
      <c r="BW162" s="398"/>
      <c r="BZ162" s="411"/>
      <c r="CA162" s="411"/>
    </row>
    <row r="163" spans="1:79" ht="12.75" customHeight="1" x14ac:dyDescent="0.2">
      <c r="A163" s="388"/>
      <c r="B163" s="388"/>
      <c r="D163" s="398" t="s">
        <v>403</v>
      </c>
      <c r="F163" s="388"/>
      <c r="G163" s="101">
        <f>SUM(G164:G166)</f>
        <v>0</v>
      </c>
      <c r="H163" s="101"/>
      <c r="I163" s="101"/>
      <c r="J163" s="487"/>
      <c r="K163" s="101"/>
      <c r="L163" s="101">
        <f>SUM(L164:L166)</f>
        <v>6024000</v>
      </c>
      <c r="M163" s="101"/>
      <c r="N163" s="101"/>
      <c r="O163" s="487"/>
      <c r="P163" s="101"/>
      <c r="Q163" s="101">
        <f>SUM(Q164:Q166)</f>
        <v>3019000</v>
      </c>
      <c r="R163" s="101"/>
      <c r="S163" s="101"/>
      <c r="T163" s="487"/>
      <c r="U163" s="101"/>
      <c r="V163" s="101">
        <f>SUM(V164:V166)</f>
        <v>2872000</v>
      </c>
      <c r="W163" s="101"/>
      <c r="X163" s="101"/>
      <c r="Y163" s="487"/>
      <c r="Z163" s="101"/>
      <c r="AA163" s="101">
        <f>SUM(AA164:AA166)</f>
        <v>6600000</v>
      </c>
      <c r="AB163" s="101"/>
      <c r="AC163" s="101"/>
      <c r="AD163" s="487"/>
      <c r="AE163" s="101"/>
      <c r="AF163" s="101">
        <f>SUM(AF164:AF166)</f>
        <v>9277000</v>
      </c>
      <c r="AG163" s="101"/>
      <c r="AH163" s="101"/>
      <c r="AI163" s="487"/>
      <c r="AJ163" s="101"/>
      <c r="AK163" s="101">
        <f>SUM(AK164:AK166)</f>
        <v>8807000</v>
      </c>
      <c r="AL163" s="101"/>
      <c r="AM163" s="101"/>
      <c r="AN163" s="487"/>
      <c r="AO163" s="101"/>
      <c r="AP163" s="101">
        <f>SUM(AP164:AP166)</f>
        <v>4111000</v>
      </c>
      <c r="AQ163" s="101"/>
      <c r="AR163" s="101"/>
      <c r="AS163" s="487"/>
      <c r="AT163" s="101"/>
      <c r="AU163" s="101">
        <f>SUM(AU164:AU166)</f>
        <v>4400000</v>
      </c>
      <c r="AV163" s="101"/>
      <c r="AW163" s="101"/>
      <c r="AX163" s="487"/>
      <c r="AY163" s="101"/>
      <c r="AZ163" s="101">
        <f>SUM(AZ164:AZ166)</f>
        <v>2329000</v>
      </c>
      <c r="BA163" s="101"/>
      <c r="BB163" s="101"/>
      <c r="BC163" s="487"/>
      <c r="BD163" s="101"/>
      <c r="BE163" s="101">
        <f>SUM(BE164:BE166)</f>
        <v>4398000</v>
      </c>
      <c r="BF163" s="101"/>
      <c r="BG163" s="101"/>
      <c r="BH163" s="487"/>
      <c r="BI163" s="101"/>
      <c r="BJ163" s="101">
        <f>SUM(BJ164:BJ166)</f>
        <v>8804581</v>
      </c>
      <c r="BK163" s="101"/>
      <c r="BL163" s="101"/>
      <c r="BM163" s="487"/>
      <c r="BN163" s="101"/>
      <c r="BO163" s="101">
        <f>SUM(BO164:BO166)</f>
        <v>7413000</v>
      </c>
      <c r="BP163" s="101"/>
      <c r="BQ163" s="101"/>
      <c r="BR163" s="487"/>
      <c r="BS163" s="101"/>
      <c r="BT163" s="101">
        <f>SUM(BT164:BT166)</f>
        <v>68054581</v>
      </c>
      <c r="BU163" s="101"/>
      <c r="BV163" s="101"/>
      <c r="BW163" s="398"/>
      <c r="BZ163" s="411"/>
      <c r="CA163" s="411"/>
    </row>
    <row r="164" spans="1:79" ht="12.75" customHeight="1" x14ac:dyDescent="0.2">
      <c r="A164" s="388"/>
      <c r="B164" s="388"/>
      <c r="D164" s="398" t="s">
        <v>373</v>
      </c>
      <c r="F164" s="412"/>
      <c r="G164" s="485">
        <v>0</v>
      </c>
      <c r="H164" s="486"/>
      <c r="I164" s="101"/>
      <c r="J164" s="487"/>
      <c r="K164" s="488"/>
      <c r="L164" s="485">
        <f>6024000-1184412</f>
        <v>4839588</v>
      </c>
      <c r="M164" s="486"/>
      <c r="N164" s="101"/>
      <c r="O164" s="487"/>
      <c r="P164" s="488"/>
      <c r="Q164" s="485">
        <f>3019000-467659</f>
        <v>2551341</v>
      </c>
      <c r="R164" s="486"/>
      <c r="S164" s="101"/>
      <c r="T164" s="487"/>
      <c r="U164" s="488"/>
      <c r="V164" s="485">
        <f>2872000-377052</f>
        <v>2494948</v>
      </c>
      <c r="W164" s="486"/>
      <c r="X164" s="101"/>
      <c r="Y164" s="487"/>
      <c r="Z164" s="488"/>
      <c r="AA164" s="485">
        <f>6600000-871152</f>
        <v>5728848</v>
      </c>
      <c r="AB164" s="486"/>
      <c r="AC164" s="101"/>
      <c r="AD164" s="487"/>
      <c r="AE164" s="488"/>
      <c r="AF164" s="485">
        <f>9277000-1225246</f>
        <v>8051754</v>
      </c>
      <c r="AG164" s="486"/>
      <c r="AH164" s="101"/>
      <c r="AI164" s="487"/>
      <c r="AJ164" s="488"/>
      <c r="AK164" s="485">
        <f>8807000-1107949</f>
        <v>7699051</v>
      </c>
      <c r="AL164" s="486"/>
      <c r="AM164" s="101"/>
      <c r="AN164" s="487"/>
      <c r="AO164" s="488"/>
      <c r="AP164" s="485">
        <f>4111000-556622</f>
        <v>3554378</v>
      </c>
      <c r="AQ164" s="486"/>
      <c r="AR164" s="101"/>
      <c r="AS164" s="487"/>
      <c r="AT164" s="488"/>
      <c r="AU164" s="485">
        <f>4400000-474513</f>
        <v>3925487</v>
      </c>
      <c r="AV164" s="486"/>
      <c r="AW164" s="101"/>
      <c r="AX164" s="487"/>
      <c r="AY164" s="488"/>
      <c r="AZ164" s="485">
        <f>2329000-256938</f>
        <v>2072062</v>
      </c>
      <c r="BA164" s="486"/>
      <c r="BB164" s="101"/>
      <c r="BC164" s="487"/>
      <c r="BD164" s="488"/>
      <c r="BE164" s="485">
        <f>4398000-445780</f>
        <v>3952220</v>
      </c>
      <c r="BF164" s="486"/>
      <c r="BG164" s="101"/>
      <c r="BH164" s="487"/>
      <c r="BI164" s="488"/>
      <c r="BJ164" s="485">
        <f>8804581-743596</f>
        <v>8060985</v>
      </c>
      <c r="BK164" s="486"/>
      <c r="BL164" s="101"/>
      <c r="BM164" s="487"/>
      <c r="BN164" s="488"/>
      <c r="BO164" s="485">
        <f>7413000-855495</f>
        <v>6557505</v>
      </c>
      <c r="BP164" s="486"/>
      <c r="BQ164" s="101"/>
      <c r="BR164" s="487"/>
      <c r="BS164" s="488"/>
      <c r="BT164" s="485">
        <f>SUM(L164:BO164)</f>
        <v>59488167</v>
      </c>
      <c r="BU164" s="486"/>
      <c r="BV164" s="101"/>
      <c r="BW164" s="398"/>
      <c r="BZ164" s="411"/>
      <c r="CA164" s="411"/>
    </row>
    <row r="165" spans="1:79" ht="12.75" customHeight="1" x14ac:dyDescent="0.2">
      <c r="A165" s="388"/>
      <c r="B165" s="388"/>
      <c r="D165" s="398" t="s">
        <v>375</v>
      </c>
      <c r="F165" s="404"/>
      <c r="G165" s="101">
        <v>0</v>
      </c>
      <c r="H165" s="49"/>
      <c r="I165" s="101"/>
      <c r="J165" s="487"/>
      <c r="K165" s="487"/>
      <c r="L165" s="101">
        <v>1184412</v>
      </c>
      <c r="M165" s="49"/>
      <c r="N165" s="101"/>
      <c r="O165" s="487"/>
      <c r="P165" s="487"/>
      <c r="Q165" s="101">
        <v>467659</v>
      </c>
      <c r="R165" s="49"/>
      <c r="S165" s="101"/>
      <c r="T165" s="487"/>
      <c r="U165" s="487"/>
      <c r="V165" s="101">
        <v>377052</v>
      </c>
      <c r="W165" s="49"/>
      <c r="X165" s="101"/>
      <c r="Y165" s="487"/>
      <c r="Z165" s="487"/>
      <c r="AA165" s="101">
        <v>871152</v>
      </c>
      <c r="AB165" s="49"/>
      <c r="AC165" s="101"/>
      <c r="AD165" s="487"/>
      <c r="AE165" s="487"/>
      <c r="AF165" s="101">
        <v>1225246</v>
      </c>
      <c r="AG165" s="49"/>
      <c r="AH165" s="101"/>
      <c r="AI165" s="487"/>
      <c r="AJ165" s="487"/>
      <c r="AK165" s="101">
        <v>1107949</v>
      </c>
      <c r="AL165" s="49"/>
      <c r="AM165" s="101"/>
      <c r="AN165" s="487"/>
      <c r="AO165" s="487"/>
      <c r="AP165" s="101">
        <v>556622</v>
      </c>
      <c r="AQ165" s="49"/>
      <c r="AR165" s="101"/>
      <c r="AS165" s="487"/>
      <c r="AT165" s="487"/>
      <c r="AU165" s="101">
        <v>474513</v>
      </c>
      <c r="AV165" s="49"/>
      <c r="AW165" s="101"/>
      <c r="AX165" s="487"/>
      <c r="AY165" s="487"/>
      <c r="AZ165" s="101">
        <v>256938</v>
      </c>
      <c r="BA165" s="49"/>
      <c r="BB165" s="101"/>
      <c r="BC165" s="487"/>
      <c r="BD165" s="487"/>
      <c r="BE165" s="101">
        <v>445780</v>
      </c>
      <c r="BF165" s="49"/>
      <c r="BG165" s="101"/>
      <c r="BH165" s="487"/>
      <c r="BI165" s="487"/>
      <c r="BJ165" s="101">
        <v>743596</v>
      </c>
      <c r="BK165" s="49"/>
      <c r="BL165" s="101"/>
      <c r="BM165" s="487"/>
      <c r="BN165" s="487"/>
      <c r="BO165" s="101">
        <v>855495</v>
      </c>
      <c r="BP165" s="49"/>
      <c r="BQ165" s="101"/>
      <c r="BR165" s="487"/>
      <c r="BS165" s="487"/>
      <c r="BT165" s="101">
        <f>SUM(L165:BO165)</f>
        <v>8566414</v>
      </c>
      <c r="BU165" s="49"/>
      <c r="BV165" s="101"/>
      <c r="BW165" s="398"/>
      <c r="BZ165" s="411"/>
      <c r="CA165" s="411"/>
    </row>
    <row r="166" spans="1:79" ht="12.75" customHeight="1" x14ac:dyDescent="0.2">
      <c r="A166" s="388"/>
      <c r="B166" s="388"/>
      <c r="D166" s="398" t="s">
        <v>376</v>
      </c>
      <c r="F166" s="427"/>
      <c r="G166" s="496">
        <v>0</v>
      </c>
      <c r="H166" s="90"/>
      <c r="I166" s="101"/>
      <c r="J166" s="487"/>
      <c r="K166" s="497"/>
      <c r="L166" s="496">
        <v>0</v>
      </c>
      <c r="M166" s="90"/>
      <c r="N166" s="101"/>
      <c r="O166" s="487"/>
      <c r="P166" s="497"/>
      <c r="Q166" s="496">
        <v>0</v>
      </c>
      <c r="R166" s="90"/>
      <c r="S166" s="101"/>
      <c r="T166" s="487"/>
      <c r="U166" s="497"/>
      <c r="V166" s="496">
        <v>0</v>
      </c>
      <c r="W166" s="90"/>
      <c r="X166" s="101"/>
      <c r="Y166" s="487"/>
      <c r="Z166" s="497"/>
      <c r="AA166" s="496">
        <v>0</v>
      </c>
      <c r="AB166" s="90"/>
      <c r="AC166" s="101"/>
      <c r="AD166" s="487"/>
      <c r="AE166" s="497"/>
      <c r="AF166" s="496">
        <v>0</v>
      </c>
      <c r="AG166" s="90"/>
      <c r="AH166" s="101"/>
      <c r="AI166" s="487"/>
      <c r="AJ166" s="497"/>
      <c r="AK166" s="496">
        <v>0</v>
      </c>
      <c r="AL166" s="90"/>
      <c r="AM166" s="101"/>
      <c r="AN166" s="487"/>
      <c r="AO166" s="497"/>
      <c r="AP166" s="496">
        <v>0</v>
      </c>
      <c r="AQ166" s="90"/>
      <c r="AR166" s="101"/>
      <c r="AS166" s="487"/>
      <c r="AT166" s="497"/>
      <c r="AU166" s="496">
        <v>0</v>
      </c>
      <c r="AV166" s="90"/>
      <c r="AW166" s="101"/>
      <c r="AX166" s="487"/>
      <c r="AY166" s="497"/>
      <c r="AZ166" s="496">
        <v>0</v>
      </c>
      <c r="BA166" s="90"/>
      <c r="BB166" s="101"/>
      <c r="BC166" s="487"/>
      <c r="BD166" s="497"/>
      <c r="BE166" s="496">
        <v>0</v>
      </c>
      <c r="BF166" s="90"/>
      <c r="BG166" s="101"/>
      <c r="BH166" s="487"/>
      <c r="BI166" s="497"/>
      <c r="BJ166" s="496">
        <v>0</v>
      </c>
      <c r="BK166" s="90"/>
      <c r="BL166" s="101"/>
      <c r="BM166" s="487"/>
      <c r="BN166" s="497"/>
      <c r="BO166" s="496">
        <v>0</v>
      </c>
      <c r="BP166" s="90"/>
      <c r="BQ166" s="101"/>
      <c r="BR166" s="487"/>
      <c r="BS166" s="497"/>
      <c r="BT166" s="496">
        <f>SUM(L166:BO166)</f>
        <v>0</v>
      </c>
      <c r="BU166" s="90"/>
      <c r="BV166" s="101"/>
      <c r="BW166" s="398"/>
      <c r="BZ166" s="411"/>
      <c r="CA166" s="411"/>
    </row>
    <row r="167" spans="1:79" ht="12.75" customHeight="1" x14ac:dyDescent="0.2">
      <c r="A167" s="388"/>
      <c r="B167" s="388"/>
      <c r="D167" s="398"/>
      <c r="F167" s="388"/>
      <c r="G167" s="101"/>
      <c r="H167" s="101"/>
      <c r="I167" s="101"/>
      <c r="J167" s="487"/>
      <c r="K167" s="101"/>
      <c r="L167" s="101"/>
      <c r="M167" s="101"/>
      <c r="N167" s="101"/>
      <c r="O167" s="487"/>
      <c r="P167" s="101"/>
      <c r="Q167" s="101"/>
      <c r="R167" s="101"/>
      <c r="S167" s="101"/>
      <c r="T167" s="487"/>
      <c r="U167" s="101"/>
      <c r="V167" s="101"/>
      <c r="W167" s="101"/>
      <c r="X167" s="101"/>
      <c r="Y167" s="487"/>
      <c r="Z167" s="101"/>
      <c r="AA167" s="101"/>
      <c r="AB167" s="101"/>
      <c r="AC167" s="101"/>
      <c r="AD167" s="487"/>
      <c r="AE167" s="101"/>
      <c r="AF167" s="101"/>
      <c r="AG167" s="101"/>
      <c r="AH167" s="101"/>
      <c r="AI167" s="487"/>
      <c r="AJ167" s="101"/>
      <c r="AK167" s="101"/>
      <c r="AL167" s="101"/>
      <c r="AM167" s="101"/>
      <c r="AN167" s="487"/>
      <c r="AO167" s="101"/>
      <c r="AP167" s="101"/>
      <c r="AQ167" s="101"/>
      <c r="AR167" s="101"/>
      <c r="AS167" s="487"/>
      <c r="AT167" s="101"/>
      <c r="AU167" s="101"/>
      <c r="AV167" s="101"/>
      <c r="AW167" s="101"/>
      <c r="AX167" s="487"/>
      <c r="AY167" s="101"/>
      <c r="AZ167" s="101"/>
      <c r="BA167" s="101"/>
      <c r="BB167" s="101"/>
      <c r="BC167" s="487"/>
      <c r="BD167" s="101"/>
      <c r="BE167" s="101"/>
      <c r="BF167" s="101"/>
      <c r="BG167" s="101"/>
      <c r="BH167" s="487"/>
      <c r="BI167" s="101"/>
      <c r="BJ167" s="101"/>
      <c r="BK167" s="101"/>
      <c r="BL167" s="101"/>
      <c r="BM167" s="487"/>
      <c r="BN167" s="101"/>
      <c r="BO167" s="101"/>
      <c r="BP167" s="101"/>
      <c r="BQ167" s="101"/>
      <c r="BR167" s="487"/>
      <c r="BS167" s="101"/>
      <c r="BT167" s="101"/>
      <c r="BU167" s="101"/>
      <c r="BV167" s="101"/>
      <c r="BW167" s="398"/>
      <c r="BZ167" s="411"/>
      <c r="CA167" s="411"/>
    </row>
    <row r="168" spans="1:79" ht="12.75" customHeight="1" x14ac:dyDescent="0.2">
      <c r="A168" s="388"/>
      <c r="B168" s="388"/>
      <c r="D168" s="398" t="s">
        <v>404</v>
      </c>
      <c r="F168" s="388"/>
      <c r="G168" s="101">
        <f>SUM(G169:G171)</f>
        <v>0</v>
      </c>
      <c r="H168" s="101"/>
      <c r="I168" s="101"/>
      <c r="J168" s="487"/>
      <c r="K168" s="101"/>
      <c r="L168" s="101">
        <f>SUM(L169:L171)</f>
        <v>3019000</v>
      </c>
      <c r="M168" s="101"/>
      <c r="N168" s="101"/>
      <c r="O168" s="487"/>
      <c r="P168" s="101"/>
      <c r="Q168" s="101">
        <f>SUM(Q169:Q171)</f>
        <v>0</v>
      </c>
      <c r="R168" s="101"/>
      <c r="S168" s="101"/>
      <c r="T168" s="487"/>
      <c r="U168" s="101"/>
      <c r="V168" s="101">
        <f>SUM(V169:V171)</f>
        <v>4198000</v>
      </c>
      <c r="W168" s="101"/>
      <c r="X168" s="101"/>
      <c r="Y168" s="487"/>
      <c r="Z168" s="101"/>
      <c r="AA168" s="101">
        <f>SUM(AA169:AA171)</f>
        <v>4397000</v>
      </c>
      <c r="AB168" s="101"/>
      <c r="AC168" s="101"/>
      <c r="AD168" s="487"/>
      <c r="AE168" s="101"/>
      <c r="AF168" s="101">
        <f>SUM(AF169:AF171)</f>
        <v>3698000</v>
      </c>
      <c r="AG168" s="101"/>
      <c r="AH168" s="101"/>
      <c r="AI168" s="487"/>
      <c r="AJ168" s="101"/>
      <c r="AK168" s="101">
        <f>SUM(AK169:AK171)</f>
        <v>4400000</v>
      </c>
      <c r="AL168" s="101"/>
      <c r="AM168" s="101"/>
      <c r="AN168" s="487"/>
      <c r="AO168" s="101"/>
      <c r="AP168" s="101">
        <f>SUM(AP169:AP171)</f>
        <v>4176000</v>
      </c>
      <c r="AQ168" s="101"/>
      <c r="AR168" s="101"/>
      <c r="AS168" s="487"/>
      <c r="AT168" s="101"/>
      <c r="AU168" s="101">
        <f>SUM(AU169:AU171)</f>
        <v>0</v>
      </c>
      <c r="AV168" s="101"/>
      <c r="AW168" s="101"/>
      <c r="AX168" s="487"/>
      <c r="AY168" s="101"/>
      <c r="AZ168" s="101">
        <f>SUM(AZ169:AZ171)</f>
        <v>4344000</v>
      </c>
      <c r="BA168" s="101"/>
      <c r="BB168" s="101"/>
      <c r="BC168" s="487"/>
      <c r="BD168" s="101"/>
      <c r="BE168" s="101">
        <f>SUM(BE169:BE171)</f>
        <v>4400000</v>
      </c>
      <c r="BF168" s="101"/>
      <c r="BG168" s="101"/>
      <c r="BH168" s="487"/>
      <c r="BI168" s="101"/>
      <c r="BJ168" s="101">
        <f>SUM(BJ169:BJ171)</f>
        <v>10347287</v>
      </c>
      <c r="BK168" s="101"/>
      <c r="BL168" s="101"/>
      <c r="BM168" s="487"/>
      <c r="BN168" s="101"/>
      <c r="BO168" s="101">
        <f>SUM(BO169:BO171)</f>
        <v>4401000</v>
      </c>
      <c r="BP168" s="101"/>
      <c r="BQ168" s="101"/>
      <c r="BR168" s="487"/>
      <c r="BS168" s="101"/>
      <c r="BT168" s="101">
        <f>SUM(BT169:BT171)</f>
        <v>47380287</v>
      </c>
      <c r="BU168" s="101"/>
      <c r="BV168" s="101"/>
      <c r="BW168" s="398"/>
      <c r="BZ168" s="411"/>
      <c r="CA168" s="411"/>
    </row>
    <row r="169" spans="1:79" ht="12.75" customHeight="1" x14ac:dyDescent="0.2">
      <c r="A169" s="388"/>
      <c r="B169" s="388"/>
      <c r="D169" s="398" t="s">
        <v>373</v>
      </c>
      <c r="F169" s="412"/>
      <c r="G169" s="485">
        <v>0</v>
      </c>
      <c r="H169" s="486"/>
      <c r="I169" s="101"/>
      <c r="J169" s="487"/>
      <c r="K169" s="488"/>
      <c r="L169" s="485">
        <f>3019000-705765</f>
        <v>2313235</v>
      </c>
      <c r="M169" s="486"/>
      <c r="N169" s="101"/>
      <c r="O169" s="487"/>
      <c r="P169" s="488"/>
      <c r="Q169" s="485">
        <v>0</v>
      </c>
      <c r="R169" s="486"/>
      <c r="S169" s="101"/>
      <c r="T169" s="487"/>
      <c r="U169" s="488"/>
      <c r="V169" s="485">
        <f>4198000-671900</f>
        <v>3526100</v>
      </c>
      <c r="W169" s="486"/>
      <c r="X169" s="101"/>
      <c r="Y169" s="487"/>
      <c r="Z169" s="488"/>
      <c r="AA169" s="485">
        <f>4397000-939132</f>
        <v>3457868</v>
      </c>
      <c r="AB169" s="486"/>
      <c r="AC169" s="101"/>
      <c r="AD169" s="487"/>
      <c r="AE169" s="488"/>
      <c r="AF169" s="485">
        <f>3698000-763219</f>
        <v>2934781</v>
      </c>
      <c r="AG169" s="486"/>
      <c r="AH169" s="101"/>
      <c r="AI169" s="487"/>
      <c r="AJ169" s="488"/>
      <c r="AK169" s="485">
        <f>4400000-879677</f>
        <v>3520323</v>
      </c>
      <c r="AL169" s="486"/>
      <c r="AM169" s="101"/>
      <c r="AN169" s="487"/>
      <c r="AO169" s="488"/>
      <c r="AP169" s="485">
        <f>4176000-907864</f>
        <v>3268136</v>
      </c>
      <c r="AQ169" s="486"/>
      <c r="AR169" s="101"/>
      <c r="AS169" s="487"/>
      <c r="AT169" s="488"/>
      <c r="AU169" s="485">
        <v>0</v>
      </c>
      <c r="AV169" s="486"/>
      <c r="AW169" s="101"/>
      <c r="AX169" s="487"/>
      <c r="AY169" s="488"/>
      <c r="AZ169" s="485">
        <f>4344000-828139</f>
        <v>3515861</v>
      </c>
      <c r="BA169" s="486"/>
      <c r="BB169" s="101"/>
      <c r="BC169" s="487"/>
      <c r="BD169" s="488"/>
      <c r="BE169" s="485">
        <f>4400000-768756</f>
        <v>3631244</v>
      </c>
      <c r="BF169" s="486"/>
      <c r="BG169" s="101"/>
      <c r="BH169" s="487"/>
      <c r="BI169" s="488"/>
      <c r="BJ169" s="485">
        <f>10347287-1562924</f>
        <v>8784363</v>
      </c>
      <c r="BK169" s="486"/>
      <c r="BL169" s="101"/>
      <c r="BM169" s="487"/>
      <c r="BN169" s="488"/>
      <c r="BO169" s="485">
        <f>4401000-710310</f>
        <v>3690690</v>
      </c>
      <c r="BP169" s="486"/>
      <c r="BQ169" s="101"/>
      <c r="BR169" s="487"/>
      <c r="BS169" s="488"/>
      <c r="BT169" s="485">
        <f>SUM(L169:BO169)</f>
        <v>38642601</v>
      </c>
      <c r="BU169" s="486"/>
      <c r="BV169" s="101"/>
      <c r="BW169" s="398"/>
      <c r="BZ169" s="411"/>
      <c r="CA169" s="411"/>
    </row>
    <row r="170" spans="1:79" ht="12.75" customHeight="1" x14ac:dyDescent="0.2">
      <c r="A170" s="388"/>
      <c r="B170" s="388"/>
      <c r="D170" s="398" t="s">
        <v>375</v>
      </c>
      <c r="F170" s="404"/>
      <c r="G170" s="101">
        <v>0</v>
      </c>
      <c r="H170" s="49"/>
      <c r="I170" s="101"/>
      <c r="J170" s="487"/>
      <c r="K170" s="487"/>
      <c r="L170" s="101">
        <v>705765</v>
      </c>
      <c r="M170" s="49"/>
      <c r="N170" s="101"/>
      <c r="O170" s="487"/>
      <c r="P170" s="487"/>
      <c r="Q170" s="101">
        <v>0</v>
      </c>
      <c r="R170" s="49"/>
      <c r="S170" s="101"/>
      <c r="T170" s="487"/>
      <c r="U170" s="487"/>
      <c r="V170" s="101">
        <v>671900</v>
      </c>
      <c r="W170" s="49"/>
      <c r="X170" s="101"/>
      <c r="Y170" s="487"/>
      <c r="Z170" s="487"/>
      <c r="AA170" s="101">
        <v>939132</v>
      </c>
      <c r="AB170" s="49"/>
      <c r="AC170" s="101"/>
      <c r="AD170" s="487"/>
      <c r="AE170" s="487"/>
      <c r="AF170" s="101">
        <v>763219</v>
      </c>
      <c r="AG170" s="49"/>
      <c r="AH170" s="101"/>
      <c r="AI170" s="487"/>
      <c r="AJ170" s="487"/>
      <c r="AK170" s="101">
        <v>879677</v>
      </c>
      <c r="AL170" s="49"/>
      <c r="AM170" s="101"/>
      <c r="AN170" s="487"/>
      <c r="AO170" s="487"/>
      <c r="AP170" s="101">
        <v>907864</v>
      </c>
      <c r="AQ170" s="49"/>
      <c r="AR170" s="101"/>
      <c r="AS170" s="487"/>
      <c r="AT170" s="487"/>
      <c r="AU170" s="101">
        <v>0</v>
      </c>
      <c r="AV170" s="49"/>
      <c r="AW170" s="101"/>
      <c r="AX170" s="487"/>
      <c r="AY170" s="487"/>
      <c r="AZ170" s="101">
        <v>828139</v>
      </c>
      <c r="BA170" s="49"/>
      <c r="BB170" s="101"/>
      <c r="BC170" s="487"/>
      <c r="BD170" s="487"/>
      <c r="BE170" s="101">
        <v>768756</v>
      </c>
      <c r="BF170" s="49"/>
      <c r="BG170" s="101"/>
      <c r="BH170" s="487"/>
      <c r="BI170" s="487"/>
      <c r="BJ170" s="101">
        <v>1562924</v>
      </c>
      <c r="BK170" s="49"/>
      <c r="BL170" s="101"/>
      <c r="BM170" s="487"/>
      <c r="BN170" s="487"/>
      <c r="BO170" s="101">
        <v>710310</v>
      </c>
      <c r="BP170" s="49"/>
      <c r="BQ170" s="101"/>
      <c r="BR170" s="487"/>
      <c r="BS170" s="487"/>
      <c r="BT170" s="101">
        <f>SUM(L170:BO170)</f>
        <v>8737686</v>
      </c>
      <c r="BU170" s="49"/>
      <c r="BV170" s="101"/>
      <c r="BW170" s="398"/>
      <c r="BZ170" s="411"/>
      <c r="CA170" s="411"/>
    </row>
    <row r="171" spans="1:79" ht="12.75" customHeight="1" x14ac:dyDescent="0.2">
      <c r="A171" s="388"/>
      <c r="B171" s="388"/>
      <c r="D171" s="398" t="s">
        <v>376</v>
      </c>
      <c r="F171" s="427"/>
      <c r="G171" s="496">
        <v>0</v>
      </c>
      <c r="H171" s="90"/>
      <c r="I171" s="101"/>
      <c r="J171" s="487"/>
      <c r="K171" s="497"/>
      <c r="L171" s="496">
        <v>0</v>
      </c>
      <c r="M171" s="90"/>
      <c r="N171" s="101"/>
      <c r="O171" s="487"/>
      <c r="P171" s="497"/>
      <c r="Q171" s="496">
        <v>0</v>
      </c>
      <c r="R171" s="90"/>
      <c r="S171" s="101"/>
      <c r="T171" s="487"/>
      <c r="U171" s="497"/>
      <c r="V171" s="496">
        <v>0</v>
      </c>
      <c r="W171" s="90"/>
      <c r="X171" s="101"/>
      <c r="Y171" s="487"/>
      <c r="Z171" s="497"/>
      <c r="AA171" s="496">
        <v>0</v>
      </c>
      <c r="AB171" s="90"/>
      <c r="AC171" s="101"/>
      <c r="AD171" s="487"/>
      <c r="AE171" s="497"/>
      <c r="AF171" s="496">
        <v>0</v>
      </c>
      <c r="AG171" s="90"/>
      <c r="AH171" s="101"/>
      <c r="AI171" s="487"/>
      <c r="AJ171" s="497"/>
      <c r="AK171" s="496">
        <v>0</v>
      </c>
      <c r="AL171" s="90"/>
      <c r="AM171" s="101"/>
      <c r="AN171" s="487"/>
      <c r="AO171" s="497"/>
      <c r="AP171" s="496">
        <v>0</v>
      </c>
      <c r="AQ171" s="90"/>
      <c r="AR171" s="101"/>
      <c r="AS171" s="487"/>
      <c r="AT171" s="497"/>
      <c r="AU171" s="496">
        <v>0</v>
      </c>
      <c r="AV171" s="90"/>
      <c r="AW171" s="101"/>
      <c r="AX171" s="487"/>
      <c r="AY171" s="497"/>
      <c r="AZ171" s="496">
        <v>0</v>
      </c>
      <c r="BA171" s="90"/>
      <c r="BB171" s="101"/>
      <c r="BC171" s="487"/>
      <c r="BD171" s="497"/>
      <c r="BE171" s="496">
        <v>0</v>
      </c>
      <c r="BF171" s="90"/>
      <c r="BG171" s="101"/>
      <c r="BH171" s="487"/>
      <c r="BI171" s="497"/>
      <c r="BJ171" s="496">
        <v>0</v>
      </c>
      <c r="BK171" s="90"/>
      <c r="BL171" s="101"/>
      <c r="BM171" s="487"/>
      <c r="BN171" s="497"/>
      <c r="BO171" s="496">
        <v>0</v>
      </c>
      <c r="BP171" s="90"/>
      <c r="BQ171" s="101"/>
      <c r="BR171" s="487"/>
      <c r="BS171" s="497"/>
      <c r="BT171" s="496">
        <f>SUM(L171:BO171)</f>
        <v>0</v>
      </c>
      <c r="BU171" s="90"/>
      <c r="BV171" s="101"/>
      <c r="BW171" s="398"/>
      <c r="BZ171" s="411"/>
      <c r="CA171" s="411"/>
    </row>
    <row r="172" spans="1:79" ht="12.75" customHeight="1" x14ac:dyDescent="0.2">
      <c r="A172" s="388"/>
      <c r="B172" s="388"/>
      <c r="D172" s="398"/>
      <c r="F172" s="388"/>
      <c r="G172" s="101"/>
      <c r="H172" s="101"/>
      <c r="I172" s="101"/>
      <c r="J172" s="487"/>
      <c r="K172" s="101"/>
      <c r="L172" s="101"/>
      <c r="M172" s="101"/>
      <c r="N172" s="101"/>
      <c r="O172" s="487"/>
      <c r="P172" s="101"/>
      <c r="Q172" s="101"/>
      <c r="R172" s="101"/>
      <c r="S172" s="101"/>
      <c r="T172" s="487"/>
      <c r="U172" s="101"/>
      <c r="V172" s="101"/>
      <c r="W172" s="101"/>
      <c r="X172" s="101"/>
      <c r="Y172" s="487"/>
      <c r="Z172" s="101"/>
      <c r="AA172" s="101"/>
      <c r="AB172" s="101"/>
      <c r="AC172" s="101"/>
      <c r="AD172" s="487"/>
      <c r="AE172" s="101"/>
      <c r="AF172" s="101"/>
      <c r="AG172" s="101"/>
      <c r="AH172" s="101"/>
      <c r="AI172" s="487"/>
      <c r="AJ172" s="101"/>
      <c r="AK172" s="101"/>
      <c r="AL172" s="101"/>
      <c r="AM172" s="101"/>
      <c r="AN172" s="487"/>
      <c r="AO172" s="101"/>
      <c r="AP172" s="101"/>
      <c r="AQ172" s="101"/>
      <c r="AR172" s="101"/>
      <c r="AS172" s="487"/>
      <c r="AT172" s="101"/>
      <c r="AU172" s="101"/>
      <c r="AV172" s="101"/>
      <c r="AW172" s="101"/>
      <c r="AX172" s="487"/>
      <c r="AY172" s="101"/>
      <c r="AZ172" s="101"/>
      <c r="BA172" s="101"/>
      <c r="BB172" s="101"/>
      <c r="BC172" s="487"/>
      <c r="BD172" s="101"/>
      <c r="BE172" s="101"/>
      <c r="BF172" s="101"/>
      <c r="BG172" s="101"/>
      <c r="BH172" s="487"/>
      <c r="BI172" s="101"/>
      <c r="BJ172" s="101"/>
      <c r="BK172" s="101"/>
      <c r="BL172" s="101"/>
      <c r="BM172" s="487"/>
      <c r="BN172" s="101"/>
      <c r="BO172" s="101"/>
      <c r="BP172" s="101"/>
      <c r="BQ172" s="101"/>
      <c r="BR172" s="487"/>
      <c r="BS172" s="101"/>
      <c r="BT172" s="101"/>
      <c r="BU172" s="101"/>
      <c r="BV172" s="101"/>
      <c r="BW172" s="398"/>
      <c r="BZ172" s="411"/>
      <c r="CA172" s="411"/>
    </row>
    <row r="173" spans="1:79" ht="12.75" customHeight="1" x14ac:dyDescent="0.2">
      <c r="A173" s="388"/>
      <c r="B173" s="388"/>
      <c r="D173" s="398" t="s">
        <v>405</v>
      </c>
      <c r="F173" s="388"/>
      <c r="G173" s="101">
        <f>SUM(G174:G176)</f>
        <v>0</v>
      </c>
      <c r="H173" s="101"/>
      <c r="I173" s="101"/>
      <c r="J173" s="487"/>
      <c r="K173" s="101"/>
      <c r="L173" s="101">
        <f>SUM(L174:L176)</f>
        <v>0</v>
      </c>
      <c r="M173" s="101"/>
      <c r="N173" s="101"/>
      <c r="O173" s="487"/>
      <c r="P173" s="101"/>
      <c r="Q173" s="101">
        <f>SUM(Q174:Q176)</f>
        <v>0</v>
      </c>
      <c r="R173" s="101"/>
      <c r="S173" s="101"/>
      <c r="T173" s="487"/>
      <c r="U173" s="101"/>
      <c r="V173" s="101">
        <f>SUM(V174:V176)</f>
        <v>0</v>
      </c>
      <c r="W173" s="101"/>
      <c r="X173" s="101"/>
      <c r="Y173" s="487"/>
      <c r="Z173" s="101"/>
      <c r="AA173" s="101">
        <f>SUM(AA174:AA176)</f>
        <v>0</v>
      </c>
      <c r="AB173" s="101"/>
      <c r="AC173" s="101"/>
      <c r="AD173" s="487"/>
      <c r="AE173" s="101"/>
      <c r="AF173" s="101">
        <f>SUM(AF174:AF176)</f>
        <v>2200000</v>
      </c>
      <c r="AG173" s="101"/>
      <c r="AH173" s="101"/>
      <c r="AI173" s="487"/>
      <c r="AJ173" s="101"/>
      <c r="AK173" s="101">
        <f>SUM(AK174:AK176)</f>
        <v>4397000</v>
      </c>
      <c r="AL173" s="101"/>
      <c r="AM173" s="101"/>
      <c r="AN173" s="487"/>
      <c r="AO173" s="101"/>
      <c r="AP173" s="101">
        <f>SUM(AP174:AP176)</f>
        <v>2250000</v>
      </c>
      <c r="AQ173" s="101"/>
      <c r="AR173" s="101"/>
      <c r="AS173" s="487"/>
      <c r="AT173" s="101"/>
      <c r="AU173" s="101">
        <f>SUM(AU174:AU176)</f>
        <v>4177000</v>
      </c>
      <c r="AV173" s="101"/>
      <c r="AW173" s="101"/>
      <c r="AX173" s="487"/>
      <c r="AY173" s="101"/>
      <c r="AZ173" s="101">
        <f>SUM(AZ174:AZ176)</f>
        <v>0</v>
      </c>
      <c r="BA173" s="101"/>
      <c r="BB173" s="101"/>
      <c r="BC173" s="487"/>
      <c r="BD173" s="101"/>
      <c r="BE173" s="101">
        <f>SUM(BE174:BE176)</f>
        <v>0</v>
      </c>
      <c r="BF173" s="101"/>
      <c r="BG173" s="101"/>
      <c r="BH173" s="487"/>
      <c r="BI173" s="101"/>
      <c r="BJ173" s="101">
        <f>SUM(BJ174:BJ176)</f>
        <v>6775000</v>
      </c>
      <c r="BK173" s="101"/>
      <c r="BL173" s="101"/>
      <c r="BM173" s="487"/>
      <c r="BN173" s="101"/>
      <c r="BO173" s="101">
        <f>SUM(BO174:BO176)</f>
        <v>2197000</v>
      </c>
      <c r="BP173" s="101"/>
      <c r="BQ173" s="101"/>
      <c r="BR173" s="487"/>
      <c r="BS173" s="101"/>
      <c r="BT173" s="101">
        <f>SUM(BT174:BT176)</f>
        <v>21996000</v>
      </c>
      <c r="BU173" s="101"/>
      <c r="BV173" s="101"/>
      <c r="BW173" s="398"/>
      <c r="BZ173" s="411"/>
      <c r="CA173" s="411"/>
    </row>
    <row r="174" spans="1:79" ht="12.75" customHeight="1" x14ac:dyDescent="0.2">
      <c r="A174" s="388"/>
      <c r="B174" s="388"/>
      <c r="D174" s="398" t="s">
        <v>373</v>
      </c>
      <c r="F174" s="412"/>
      <c r="G174" s="485">
        <v>0</v>
      </c>
      <c r="H174" s="486"/>
      <c r="I174" s="101"/>
      <c r="J174" s="487"/>
      <c r="K174" s="488"/>
      <c r="L174" s="485">
        <v>0</v>
      </c>
      <c r="M174" s="486"/>
      <c r="N174" s="101"/>
      <c r="O174" s="487"/>
      <c r="P174" s="488"/>
      <c r="Q174" s="485">
        <v>0</v>
      </c>
      <c r="R174" s="486"/>
      <c r="S174" s="101"/>
      <c r="T174" s="487"/>
      <c r="U174" s="488"/>
      <c r="V174" s="485">
        <v>0</v>
      </c>
      <c r="W174" s="486"/>
      <c r="X174" s="101"/>
      <c r="Y174" s="487"/>
      <c r="Z174" s="488"/>
      <c r="AA174" s="485">
        <v>0</v>
      </c>
      <c r="AB174" s="486"/>
      <c r="AC174" s="101"/>
      <c r="AD174" s="487"/>
      <c r="AE174" s="488"/>
      <c r="AF174" s="485">
        <f>2200000-491030</f>
        <v>1708970</v>
      </c>
      <c r="AG174" s="486"/>
      <c r="AH174" s="101"/>
      <c r="AI174" s="487"/>
      <c r="AJ174" s="488"/>
      <c r="AK174" s="485">
        <f>4397000-926461</f>
        <v>3470539</v>
      </c>
      <c r="AL174" s="486"/>
      <c r="AM174" s="101"/>
      <c r="AN174" s="487"/>
      <c r="AO174" s="488"/>
      <c r="AP174" s="485">
        <f>2250000-528176</f>
        <v>1721824</v>
      </c>
      <c r="AQ174" s="486"/>
      <c r="AR174" s="101"/>
      <c r="AS174" s="487"/>
      <c r="AT174" s="488"/>
      <c r="AU174" s="485">
        <f>4177000-864039</f>
        <v>3312961</v>
      </c>
      <c r="AV174" s="486"/>
      <c r="AW174" s="101"/>
      <c r="AX174" s="487"/>
      <c r="AY174" s="488"/>
      <c r="AZ174" s="485">
        <v>0</v>
      </c>
      <c r="BA174" s="486"/>
      <c r="BB174" s="101"/>
      <c r="BC174" s="487"/>
      <c r="BD174" s="488"/>
      <c r="BE174" s="485">
        <v>0</v>
      </c>
      <c r="BF174" s="486"/>
      <c r="BG174" s="101"/>
      <c r="BH174" s="487"/>
      <c r="BI174" s="488"/>
      <c r="BJ174" s="485">
        <f>6775000-1135001</f>
        <v>5639999</v>
      </c>
      <c r="BK174" s="486"/>
      <c r="BL174" s="101"/>
      <c r="BM174" s="487"/>
      <c r="BN174" s="488"/>
      <c r="BO174" s="485">
        <f>2197000-401727</f>
        <v>1795273</v>
      </c>
      <c r="BP174" s="486"/>
      <c r="BQ174" s="101"/>
      <c r="BR174" s="487"/>
      <c r="BS174" s="488"/>
      <c r="BT174" s="485">
        <f>SUM(L174:BO174)</f>
        <v>17649566</v>
      </c>
      <c r="BU174" s="486"/>
      <c r="BV174" s="101"/>
      <c r="BW174" s="398"/>
      <c r="BZ174" s="411"/>
      <c r="CA174" s="411"/>
    </row>
    <row r="175" spans="1:79" ht="12.75" customHeight="1" x14ac:dyDescent="0.2">
      <c r="A175" s="388"/>
      <c r="B175" s="388"/>
      <c r="D175" s="398" t="s">
        <v>375</v>
      </c>
      <c r="F175" s="404"/>
      <c r="G175" s="101">
        <v>0</v>
      </c>
      <c r="H175" s="49"/>
      <c r="I175" s="101"/>
      <c r="J175" s="487"/>
      <c r="K175" s="487"/>
      <c r="L175" s="101">
        <v>0</v>
      </c>
      <c r="M175" s="49"/>
      <c r="N175" s="101"/>
      <c r="O175" s="487"/>
      <c r="P175" s="487"/>
      <c r="Q175" s="101">
        <v>0</v>
      </c>
      <c r="R175" s="49"/>
      <c r="S175" s="101"/>
      <c r="T175" s="487"/>
      <c r="U175" s="487"/>
      <c r="V175" s="101">
        <v>0</v>
      </c>
      <c r="W175" s="49"/>
      <c r="X175" s="101"/>
      <c r="Y175" s="487"/>
      <c r="Z175" s="487"/>
      <c r="AA175" s="101">
        <v>0</v>
      </c>
      <c r="AB175" s="49"/>
      <c r="AC175" s="101"/>
      <c r="AD175" s="487"/>
      <c r="AE175" s="487"/>
      <c r="AF175" s="101">
        <v>491030</v>
      </c>
      <c r="AG175" s="49"/>
      <c r="AH175" s="101"/>
      <c r="AI175" s="487"/>
      <c r="AJ175" s="487"/>
      <c r="AK175" s="101">
        <v>926461</v>
      </c>
      <c r="AL175" s="49"/>
      <c r="AM175" s="101"/>
      <c r="AN175" s="487"/>
      <c r="AO175" s="487"/>
      <c r="AP175" s="101">
        <v>528176</v>
      </c>
      <c r="AQ175" s="49"/>
      <c r="AR175" s="101"/>
      <c r="AS175" s="487"/>
      <c r="AT175" s="487"/>
      <c r="AU175" s="101">
        <v>864039</v>
      </c>
      <c r="AV175" s="49"/>
      <c r="AW175" s="101"/>
      <c r="AX175" s="487"/>
      <c r="AY175" s="487"/>
      <c r="AZ175" s="101">
        <v>0</v>
      </c>
      <c r="BA175" s="49"/>
      <c r="BB175" s="101"/>
      <c r="BC175" s="487"/>
      <c r="BD175" s="487"/>
      <c r="BE175" s="101">
        <v>0</v>
      </c>
      <c r="BF175" s="49"/>
      <c r="BG175" s="101"/>
      <c r="BH175" s="487"/>
      <c r="BI175" s="487"/>
      <c r="BJ175" s="101">
        <v>1135001</v>
      </c>
      <c r="BK175" s="49"/>
      <c r="BL175" s="101"/>
      <c r="BM175" s="487"/>
      <c r="BN175" s="487"/>
      <c r="BO175" s="101">
        <v>401727</v>
      </c>
      <c r="BP175" s="49"/>
      <c r="BQ175" s="101"/>
      <c r="BR175" s="487"/>
      <c r="BS175" s="487"/>
      <c r="BT175" s="101">
        <f>SUM(L175:BO175)</f>
        <v>4346434</v>
      </c>
      <c r="BU175" s="49"/>
      <c r="BV175" s="101"/>
      <c r="BW175" s="398"/>
      <c r="BZ175" s="411"/>
      <c r="CA175" s="411"/>
    </row>
    <row r="176" spans="1:79" ht="12.75" customHeight="1" x14ac:dyDescent="0.2">
      <c r="A176" s="388"/>
      <c r="B176" s="388"/>
      <c r="D176" s="398" t="s">
        <v>376</v>
      </c>
      <c r="F176" s="427"/>
      <c r="G176" s="496">
        <v>0</v>
      </c>
      <c r="H176" s="90"/>
      <c r="I176" s="101"/>
      <c r="J176" s="487"/>
      <c r="K176" s="497"/>
      <c r="L176" s="496">
        <v>0</v>
      </c>
      <c r="M176" s="90"/>
      <c r="N176" s="101"/>
      <c r="O176" s="487"/>
      <c r="P176" s="497"/>
      <c r="Q176" s="496">
        <v>0</v>
      </c>
      <c r="R176" s="90"/>
      <c r="S176" s="101"/>
      <c r="T176" s="487"/>
      <c r="U176" s="497"/>
      <c r="V176" s="496">
        <v>0</v>
      </c>
      <c r="W176" s="90"/>
      <c r="X176" s="101"/>
      <c r="Y176" s="487"/>
      <c r="Z176" s="497"/>
      <c r="AA176" s="496">
        <v>0</v>
      </c>
      <c r="AB176" s="90"/>
      <c r="AC176" s="101"/>
      <c r="AD176" s="487"/>
      <c r="AE176" s="497"/>
      <c r="AF176" s="496">
        <v>0</v>
      </c>
      <c r="AG176" s="90"/>
      <c r="AH176" s="101"/>
      <c r="AI176" s="487"/>
      <c r="AJ176" s="497"/>
      <c r="AK176" s="496">
        <v>0</v>
      </c>
      <c r="AL176" s="90"/>
      <c r="AM176" s="101"/>
      <c r="AN176" s="487"/>
      <c r="AO176" s="497"/>
      <c r="AP176" s="496">
        <v>0</v>
      </c>
      <c r="AQ176" s="90"/>
      <c r="AR176" s="101"/>
      <c r="AS176" s="487"/>
      <c r="AT176" s="497"/>
      <c r="AU176" s="496">
        <v>0</v>
      </c>
      <c r="AV176" s="90"/>
      <c r="AW176" s="101"/>
      <c r="AX176" s="487"/>
      <c r="AY176" s="497"/>
      <c r="AZ176" s="496">
        <v>0</v>
      </c>
      <c r="BA176" s="90"/>
      <c r="BB176" s="101"/>
      <c r="BC176" s="487"/>
      <c r="BD176" s="497"/>
      <c r="BE176" s="496">
        <v>0</v>
      </c>
      <c r="BF176" s="90"/>
      <c r="BG176" s="101"/>
      <c r="BH176" s="487"/>
      <c r="BI176" s="497"/>
      <c r="BJ176" s="496">
        <v>0</v>
      </c>
      <c r="BK176" s="90"/>
      <c r="BL176" s="101"/>
      <c r="BM176" s="487"/>
      <c r="BN176" s="497"/>
      <c r="BO176" s="496">
        <v>0</v>
      </c>
      <c r="BP176" s="90"/>
      <c r="BQ176" s="101"/>
      <c r="BR176" s="487"/>
      <c r="BS176" s="497"/>
      <c r="BT176" s="496">
        <f>SUM(L176:BO176)</f>
        <v>0</v>
      </c>
      <c r="BU176" s="90"/>
      <c r="BV176" s="101"/>
      <c r="BW176" s="398"/>
      <c r="BZ176" s="411"/>
      <c r="CA176" s="411"/>
    </row>
    <row r="177" spans="1:79" ht="12.75" customHeight="1" x14ac:dyDescent="0.2">
      <c r="A177" s="388"/>
      <c r="B177" s="388"/>
      <c r="D177" s="398"/>
      <c r="F177" s="388"/>
      <c r="G177" s="101"/>
      <c r="H177" s="101"/>
      <c r="I177" s="101"/>
      <c r="J177" s="487"/>
      <c r="K177" s="101"/>
      <c r="L177" s="101"/>
      <c r="M177" s="101"/>
      <c r="N177" s="101"/>
      <c r="O177" s="487"/>
      <c r="P177" s="101"/>
      <c r="Q177" s="101"/>
      <c r="R177" s="101"/>
      <c r="S177" s="101"/>
      <c r="T177" s="487"/>
      <c r="U177" s="101"/>
      <c r="V177" s="101"/>
      <c r="W177" s="101"/>
      <c r="X177" s="101"/>
      <c r="Y177" s="487"/>
      <c r="Z177" s="101"/>
      <c r="AA177" s="101"/>
      <c r="AB177" s="101"/>
      <c r="AC177" s="101"/>
      <c r="AD177" s="487"/>
      <c r="AE177" s="101"/>
      <c r="AF177" s="101"/>
      <c r="AG177" s="101"/>
      <c r="AH177" s="101"/>
      <c r="AI177" s="487"/>
      <c r="AJ177" s="101"/>
      <c r="AK177" s="101"/>
      <c r="AL177" s="101"/>
      <c r="AM177" s="101"/>
      <c r="AN177" s="487"/>
      <c r="AO177" s="101"/>
      <c r="AP177" s="101"/>
      <c r="AQ177" s="101"/>
      <c r="AR177" s="101"/>
      <c r="AS177" s="487"/>
      <c r="AT177" s="101"/>
      <c r="AU177" s="101"/>
      <c r="AV177" s="101"/>
      <c r="AW177" s="101"/>
      <c r="AX177" s="487"/>
      <c r="AY177" s="101"/>
      <c r="AZ177" s="101"/>
      <c r="BA177" s="101"/>
      <c r="BB177" s="101"/>
      <c r="BC177" s="487"/>
      <c r="BD177" s="101"/>
      <c r="BE177" s="101"/>
      <c r="BF177" s="101"/>
      <c r="BG177" s="101"/>
      <c r="BH177" s="487"/>
      <c r="BI177" s="101"/>
      <c r="BJ177" s="101"/>
      <c r="BK177" s="101"/>
      <c r="BL177" s="101"/>
      <c r="BM177" s="487"/>
      <c r="BN177" s="101"/>
      <c r="BO177" s="101"/>
      <c r="BP177" s="101"/>
      <c r="BQ177" s="101"/>
      <c r="BR177" s="487"/>
      <c r="BS177" s="101"/>
      <c r="BT177" s="101"/>
      <c r="BU177" s="101"/>
      <c r="BV177" s="101"/>
      <c r="BW177" s="398"/>
      <c r="BZ177" s="411"/>
      <c r="CA177" s="411"/>
    </row>
    <row r="178" spans="1:79" ht="12.75" customHeight="1" x14ac:dyDescent="0.2">
      <c r="A178" s="388"/>
      <c r="B178" s="388"/>
      <c r="D178" s="398" t="s">
        <v>406</v>
      </c>
      <c r="F178" s="388"/>
      <c r="G178" s="101">
        <f>SUM(G179:G181)</f>
        <v>0</v>
      </c>
      <c r="H178" s="101"/>
      <c r="I178" s="101"/>
      <c r="J178" s="487"/>
      <c r="K178" s="101"/>
      <c r="L178" s="101">
        <f>SUM(L179:L181)</f>
        <v>0</v>
      </c>
      <c r="M178" s="101"/>
      <c r="N178" s="101"/>
      <c r="O178" s="487"/>
      <c r="P178" s="101"/>
      <c r="Q178" s="101">
        <f>SUM(Q179:Q181)</f>
        <v>0</v>
      </c>
      <c r="R178" s="101"/>
      <c r="S178" s="101"/>
      <c r="T178" s="487"/>
      <c r="U178" s="101"/>
      <c r="V178" s="101">
        <f>SUM(V179:V181)</f>
        <v>5309000</v>
      </c>
      <c r="W178" s="101"/>
      <c r="X178" s="101"/>
      <c r="Y178" s="487"/>
      <c r="Z178" s="101"/>
      <c r="AA178" s="101">
        <f>SUM(AA179:AA181)</f>
        <v>7690000</v>
      </c>
      <c r="AB178" s="101"/>
      <c r="AC178" s="101"/>
      <c r="AD178" s="487"/>
      <c r="AE178" s="101"/>
      <c r="AF178" s="101">
        <f>SUM(AF179:AF181)</f>
        <v>7528000</v>
      </c>
      <c r="AG178" s="101"/>
      <c r="AH178" s="101"/>
      <c r="AI178" s="487"/>
      <c r="AJ178" s="101"/>
      <c r="AK178" s="101">
        <f>SUM(AK179:AK181)</f>
        <v>8637000</v>
      </c>
      <c r="AL178" s="101"/>
      <c r="AM178" s="101"/>
      <c r="AN178" s="487"/>
      <c r="AO178" s="101"/>
      <c r="AP178" s="101">
        <f>SUM(AP179:AP181)</f>
        <v>5599000</v>
      </c>
      <c r="AQ178" s="101"/>
      <c r="AR178" s="101"/>
      <c r="AS178" s="487"/>
      <c r="AT178" s="101"/>
      <c r="AU178" s="101">
        <f>SUM(AU179:AU181)</f>
        <v>2292000</v>
      </c>
      <c r="AV178" s="101"/>
      <c r="AW178" s="101"/>
      <c r="AX178" s="487"/>
      <c r="AY178" s="101"/>
      <c r="AZ178" s="101">
        <f>SUM(AZ179:AZ181)</f>
        <v>8795000</v>
      </c>
      <c r="BA178" s="101"/>
      <c r="BB178" s="101"/>
      <c r="BC178" s="487"/>
      <c r="BD178" s="101"/>
      <c r="BE178" s="101">
        <f>SUM(BE179:BE181)</f>
        <v>6596000</v>
      </c>
      <c r="BF178" s="101"/>
      <c r="BG178" s="101"/>
      <c r="BH178" s="487"/>
      <c r="BI178" s="101"/>
      <c r="BJ178" s="101">
        <f>SUM(BJ179:BJ181)</f>
        <v>1988457</v>
      </c>
      <c r="BK178" s="101"/>
      <c r="BL178" s="101"/>
      <c r="BM178" s="487"/>
      <c r="BN178" s="101"/>
      <c r="BO178" s="101">
        <f>SUM(BO179:BO181)</f>
        <v>0</v>
      </c>
      <c r="BP178" s="101"/>
      <c r="BQ178" s="101"/>
      <c r="BR178" s="487"/>
      <c r="BS178" s="101"/>
      <c r="BT178" s="101">
        <f>SUM(BT179:BT181)</f>
        <v>54434457</v>
      </c>
      <c r="BU178" s="101"/>
      <c r="BV178" s="101"/>
      <c r="BW178" s="398"/>
      <c r="BZ178" s="411"/>
      <c r="CA178" s="411"/>
    </row>
    <row r="179" spans="1:79" ht="12.75" customHeight="1" x14ac:dyDescent="0.2">
      <c r="A179" s="388"/>
      <c r="B179" s="388"/>
      <c r="D179" s="398" t="s">
        <v>373</v>
      </c>
      <c r="F179" s="412"/>
      <c r="G179" s="485">
        <v>0</v>
      </c>
      <c r="H179" s="486"/>
      <c r="I179" s="101"/>
      <c r="J179" s="487"/>
      <c r="K179" s="488"/>
      <c r="L179" s="485">
        <v>0</v>
      </c>
      <c r="M179" s="486"/>
      <c r="N179" s="101"/>
      <c r="O179" s="487"/>
      <c r="P179" s="488"/>
      <c r="Q179" s="485">
        <v>0</v>
      </c>
      <c r="R179" s="486"/>
      <c r="S179" s="101"/>
      <c r="T179" s="487"/>
      <c r="U179" s="488"/>
      <c r="V179" s="485">
        <f>5309000-1128214</f>
        <v>4180786</v>
      </c>
      <c r="W179" s="486"/>
      <c r="X179" s="101"/>
      <c r="Y179" s="487"/>
      <c r="Z179" s="488"/>
      <c r="AA179" s="485">
        <f>7690000-1853447</f>
        <v>5836553</v>
      </c>
      <c r="AB179" s="486"/>
      <c r="AC179" s="101"/>
      <c r="AD179" s="487"/>
      <c r="AE179" s="488"/>
      <c r="AF179" s="485">
        <f>7528000-1710198</f>
        <v>5817802</v>
      </c>
      <c r="AG179" s="486"/>
      <c r="AH179" s="101"/>
      <c r="AI179" s="487"/>
      <c r="AJ179" s="488"/>
      <c r="AK179" s="485">
        <f>8637000-1926090</f>
        <v>6710910</v>
      </c>
      <c r="AL179" s="486"/>
      <c r="AM179" s="101"/>
      <c r="AN179" s="487"/>
      <c r="AO179" s="488"/>
      <c r="AP179" s="485">
        <f>5599000-1328149</f>
        <v>4270851</v>
      </c>
      <c r="AQ179" s="486"/>
      <c r="AR179" s="101"/>
      <c r="AS179" s="487"/>
      <c r="AT179" s="488"/>
      <c r="AU179" s="485">
        <f>2292000-435713</f>
        <v>1856287</v>
      </c>
      <c r="AV179" s="486"/>
      <c r="AW179" s="101"/>
      <c r="AX179" s="487"/>
      <c r="AY179" s="488"/>
      <c r="AZ179" s="485">
        <f>8795000-1657087</f>
        <v>7137913</v>
      </c>
      <c r="BA179" s="486"/>
      <c r="BB179" s="101"/>
      <c r="BC179" s="487"/>
      <c r="BD179" s="488"/>
      <c r="BE179" s="485">
        <f>6596000-1221988</f>
        <v>5374012</v>
      </c>
      <c r="BF179" s="486"/>
      <c r="BG179" s="101"/>
      <c r="BH179" s="487"/>
      <c r="BI179" s="488"/>
      <c r="BJ179" s="485">
        <f>1988457-356681</f>
        <v>1631776</v>
      </c>
      <c r="BK179" s="486"/>
      <c r="BL179" s="101"/>
      <c r="BM179" s="487"/>
      <c r="BN179" s="488"/>
      <c r="BO179" s="485">
        <v>0</v>
      </c>
      <c r="BP179" s="486"/>
      <c r="BQ179" s="101"/>
      <c r="BR179" s="487"/>
      <c r="BS179" s="488"/>
      <c r="BT179" s="485">
        <f>SUM(L179:BO179)</f>
        <v>42816890</v>
      </c>
      <c r="BU179" s="486"/>
      <c r="BV179" s="101"/>
      <c r="BW179" s="398"/>
      <c r="BZ179" s="411"/>
      <c r="CA179" s="411"/>
    </row>
    <row r="180" spans="1:79" ht="12.75" customHeight="1" x14ac:dyDescent="0.2">
      <c r="A180" s="388"/>
      <c r="B180" s="388"/>
      <c r="D180" s="398" t="s">
        <v>375</v>
      </c>
      <c r="F180" s="404"/>
      <c r="G180" s="101">
        <v>0</v>
      </c>
      <c r="H180" s="49"/>
      <c r="I180" s="101"/>
      <c r="J180" s="487"/>
      <c r="K180" s="487"/>
      <c r="L180" s="101">
        <v>0</v>
      </c>
      <c r="M180" s="49"/>
      <c r="N180" s="101"/>
      <c r="O180" s="487"/>
      <c r="P180" s="487"/>
      <c r="Q180" s="101">
        <v>0</v>
      </c>
      <c r="R180" s="49"/>
      <c r="S180" s="101"/>
      <c r="T180" s="487"/>
      <c r="U180" s="487"/>
      <c r="V180" s="101">
        <v>1128214</v>
      </c>
      <c r="W180" s="49"/>
      <c r="X180" s="101"/>
      <c r="Y180" s="487"/>
      <c r="Z180" s="487"/>
      <c r="AA180" s="101">
        <v>1853447</v>
      </c>
      <c r="AB180" s="49"/>
      <c r="AC180" s="101"/>
      <c r="AD180" s="487"/>
      <c r="AE180" s="487"/>
      <c r="AF180" s="101">
        <v>1710198</v>
      </c>
      <c r="AG180" s="49"/>
      <c r="AH180" s="101"/>
      <c r="AI180" s="487"/>
      <c r="AJ180" s="487"/>
      <c r="AK180" s="101">
        <v>1926090</v>
      </c>
      <c r="AL180" s="49"/>
      <c r="AM180" s="101"/>
      <c r="AN180" s="487"/>
      <c r="AO180" s="487"/>
      <c r="AP180" s="101">
        <v>1328149</v>
      </c>
      <c r="AQ180" s="49"/>
      <c r="AR180" s="101"/>
      <c r="AS180" s="487"/>
      <c r="AT180" s="487"/>
      <c r="AU180" s="101">
        <v>435713</v>
      </c>
      <c r="AV180" s="49"/>
      <c r="AW180" s="101"/>
      <c r="AX180" s="487"/>
      <c r="AY180" s="487"/>
      <c r="AZ180" s="101">
        <v>1657087</v>
      </c>
      <c r="BA180" s="49"/>
      <c r="BB180" s="101"/>
      <c r="BC180" s="487"/>
      <c r="BD180" s="487"/>
      <c r="BE180" s="101">
        <v>1221988</v>
      </c>
      <c r="BF180" s="49"/>
      <c r="BG180" s="101"/>
      <c r="BH180" s="487"/>
      <c r="BI180" s="487"/>
      <c r="BJ180" s="101">
        <v>356681</v>
      </c>
      <c r="BK180" s="49"/>
      <c r="BL180" s="101"/>
      <c r="BM180" s="487"/>
      <c r="BN180" s="487"/>
      <c r="BO180" s="101">
        <v>0</v>
      </c>
      <c r="BP180" s="49"/>
      <c r="BQ180" s="101"/>
      <c r="BR180" s="487"/>
      <c r="BS180" s="487"/>
      <c r="BT180" s="101">
        <f>SUM(L180:BO180)</f>
        <v>11617567</v>
      </c>
      <c r="BU180" s="49"/>
      <c r="BV180" s="101"/>
      <c r="BW180" s="398"/>
      <c r="BZ180" s="411"/>
      <c r="CA180" s="411"/>
    </row>
    <row r="181" spans="1:79" ht="12.75" customHeight="1" x14ac:dyDescent="0.2">
      <c r="A181" s="388"/>
      <c r="B181" s="388"/>
      <c r="D181" s="398" t="s">
        <v>376</v>
      </c>
      <c r="F181" s="427"/>
      <c r="G181" s="496">
        <v>0</v>
      </c>
      <c r="H181" s="90"/>
      <c r="I181" s="101"/>
      <c r="J181" s="487"/>
      <c r="K181" s="497"/>
      <c r="L181" s="496">
        <v>0</v>
      </c>
      <c r="M181" s="90"/>
      <c r="N181" s="101"/>
      <c r="O181" s="487"/>
      <c r="P181" s="497"/>
      <c r="Q181" s="496">
        <v>0</v>
      </c>
      <c r="R181" s="90"/>
      <c r="S181" s="101"/>
      <c r="T181" s="487"/>
      <c r="U181" s="497"/>
      <c r="V181" s="496">
        <v>0</v>
      </c>
      <c r="W181" s="90"/>
      <c r="X181" s="101"/>
      <c r="Y181" s="487"/>
      <c r="Z181" s="497"/>
      <c r="AA181" s="496">
        <v>0</v>
      </c>
      <c r="AB181" s="90"/>
      <c r="AC181" s="101"/>
      <c r="AD181" s="487"/>
      <c r="AE181" s="497"/>
      <c r="AF181" s="496">
        <v>0</v>
      </c>
      <c r="AG181" s="90"/>
      <c r="AH181" s="101"/>
      <c r="AI181" s="487"/>
      <c r="AJ181" s="497"/>
      <c r="AK181" s="496">
        <v>0</v>
      </c>
      <c r="AL181" s="90"/>
      <c r="AM181" s="101"/>
      <c r="AN181" s="487"/>
      <c r="AO181" s="497"/>
      <c r="AP181" s="496">
        <v>0</v>
      </c>
      <c r="AQ181" s="90"/>
      <c r="AR181" s="101"/>
      <c r="AS181" s="487"/>
      <c r="AT181" s="497"/>
      <c r="AU181" s="496">
        <v>0</v>
      </c>
      <c r="AV181" s="90"/>
      <c r="AW181" s="101"/>
      <c r="AX181" s="487"/>
      <c r="AY181" s="497"/>
      <c r="AZ181" s="496">
        <v>0</v>
      </c>
      <c r="BA181" s="90"/>
      <c r="BB181" s="101"/>
      <c r="BC181" s="487"/>
      <c r="BD181" s="497"/>
      <c r="BE181" s="496">
        <v>0</v>
      </c>
      <c r="BF181" s="90"/>
      <c r="BG181" s="101"/>
      <c r="BH181" s="487"/>
      <c r="BI181" s="497"/>
      <c r="BJ181" s="496">
        <v>0</v>
      </c>
      <c r="BK181" s="90"/>
      <c r="BL181" s="101"/>
      <c r="BM181" s="487"/>
      <c r="BN181" s="497"/>
      <c r="BO181" s="496">
        <v>0</v>
      </c>
      <c r="BP181" s="90"/>
      <c r="BQ181" s="101"/>
      <c r="BR181" s="487"/>
      <c r="BS181" s="497"/>
      <c r="BT181" s="496">
        <f>SUM(L181:BO181)</f>
        <v>0</v>
      </c>
      <c r="BU181" s="90"/>
      <c r="BV181" s="101"/>
      <c r="BW181" s="398"/>
      <c r="BZ181" s="411"/>
      <c r="CA181" s="411"/>
    </row>
    <row r="182" spans="1:79" ht="14.25" customHeight="1" x14ac:dyDescent="0.2">
      <c r="A182" s="388"/>
      <c r="B182" s="388"/>
      <c r="C182" s="388"/>
      <c r="D182" s="500"/>
      <c r="E182" s="501"/>
      <c r="F182" s="391"/>
      <c r="G182" s="502"/>
      <c r="H182" s="502"/>
      <c r="I182" s="502"/>
      <c r="J182" s="503"/>
      <c r="K182" s="502"/>
      <c r="L182" s="502"/>
      <c r="M182" s="502"/>
      <c r="N182" s="502"/>
      <c r="O182" s="503"/>
      <c r="P182" s="502"/>
      <c r="Q182" s="502"/>
      <c r="R182" s="502"/>
      <c r="S182" s="502"/>
      <c r="T182" s="503"/>
      <c r="U182" s="502"/>
      <c r="V182" s="502"/>
      <c r="W182" s="502"/>
      <c r="X182" s="502"/>
      <c r="Y182" s="503"/>
      <c r="Z182" s="502"/>
      <c r="AA182" s="502"/>
      <c r="AB182" s="502"/>
      <c r="AC182" s="502"/>
      <c r="AD182" s="503"/>
      <c r="AE182" s="502"/>
      <c r="AF182" s="502"/>
      <c r="AG182" s="502"/>
      <c r="AH182" s="502"/>
      <c r="AI182" s="503"/>
      <c r="AJ182" s="502"/>
      <c r="AK182" s="502"/>
      <c r="AL182" s="502"/>
      <c r="AM182" s="502"/>
      <c r="AN182" s="503"/>
      <c r="AO182" s="502"/>
      <c r="AP182" s="502"/>
      <c r="AQ182" s="502"/>
      <c r="AR182" s="502"/>
      <c r="AS182" s="503"/>
      <c r="AT182" s="502"/>
      <c r="AU182" s="502"/>
      <c r="AV182" s="502"/>
      <c r="AW182" s="502"/>
      <c r="AX182" s="503"/>
      <c r="AY182" s="502"/>
      <c r="AZ182" s="502"/>
      <c r="BA182" s="502"/>
      <c r="BB182" s="502"/>
      <c r="BC182" s="503"/>
      <c r="BD182" s="502"/>
      <c r="BE182" s="502"/>
      <c r="BF182" s="502"/>
      <c r="BG182" s="502"/>
      <c r="BH182" s="503"/>
      <c r="BI182" s="502"/>
      <c r="BJ182" s="502"/>
      <c r="BK182" s="502"/>
      <c r="BL182" s="502"/>
      <c r="BM182" s="503"/>
      <c r="BN182" s="502"/>
      <c r="BO182" s="502"/>
      <c r="BP182" s="502"/>
      <c r="BQ182" s="502"/>
      <c r="BR182" s="503"/>
      <c r="BS182" s="502"/>
      <c r="BT182" s="502"/>
      <c r="BU182" s="502"/>
      <c r="BV182" s="502"/>
      <c r="BW182" s="398"/>
      <c r="BZ182" s="411"/>
      <c r="CA182" s="411"/>
    </row>
    <row r="183" spans="1:79" ht="7.5" customHeight="1" x14ac:dyDescent="0.2">
      <c r="A183" s="388"/>
      <c r="B183" s="388"/>
      <c r="C183" s="388"/>
      <c r="D183" s="388"/>
      <c r="E183" s="388"/>
      <c r="F183" s="388"/>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c r="BT183" s="101"/>
      <c r="BU183" s="101"/>
      <c r="BV183" s="101"/>
      <c r="BW183" s="388"/>
      <c r="BZ183" s="411"/>
      <c r="CA183" s="411"/>
    </row>
    <row r="184" spans="1:79" ht="12" customHeight="1" x14ac:dyDescent="0.2">
      <c r="A184" s="388"/>
      <c r="B184" s="388"/>
      <c r="C184" s="101"/>
      <c r="D184" s="504"/>
      <c r="E184" s="388"/>
      <c r="F184" s="388"/>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c r="BT184" s="101"/>
      <c r="BU184" s="101"/>
      <c r="BV184" s="101"/>
      <c r="BW184" s="388"/>
      <c r="BX184" s="388"/>
      <c r="BZ184" s="411"/>
      <c r="CA184" s="411"/>
    </row>
    <row r="185" spans="1:79" ht="12" customHeight="1" x14ac:dyDescent="0.2">
      <c r="A185" s="388"/>
      <c r="B185" s="388"/>
      <c r="C185" s="101"/>
      <c r="D185" s="101"/>
      <c r="E185" s="388"/>
      <c r="F185" s="388"/>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101"/>
      <c r="BV185" s="101"/>
      <c r="BW185" s="388"/>
      <c r="BX185" s="388"/>
      <c r="BZ185" s="411"/>
      <c r="CA185" s="411"/>
    </row>
    <row r="186" spans="1:79" ht="12.75" x14ac:dyDescent="0.2">
      <c r="A186" s="388"/>
      <c r="B186" s="388"/>
      <c r="C186" s="388"/>
      <c r="D186" s="388"/>
      <c r="E186" s="505"/>
      <c r="F186" s="505"/>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388"/>
      <c r="BZ186" s="411"/>
      <c r="CA186" s="411"/>
    </row>
    <row r="187" spans="1:79" ht="15.75" x14ac:dyDescent="0.25">
      <c r="A187" s="388"/>
      <c r="B187" s="388"/>
      <c r="C187" s="388"/>
      <c r="D187" s="462" t="s">
        <v>407</v>
      </c>
      <c r="E187" s="462"/>
      <c r="F187" s="462"/>
      <c r="G187" s="502"/>
      <c r="H187" s="502"/>
      <c r="I187" s="502"/>
      <c r="J187" s="502"/>
      <c r="K187" s="502"/>
      <c r="L187" s="502"/>
      <c r="M187" s="502"/>
      <c r="N187" s="502"/>
      <c r="O187" s="502"/>
      <c r="P187" s="502"/>
      <c r="Q187" s="502"/>
      <c r="R187" s="502"/>
      <c r="S187" s="502"/>
      <c r="T187" s="502"/>
      <c r="U187" s="502"/>
      <c r="V187" s="502"/>
      <c r="W187" s="502"/>
      <c r="X187" s="502"/>
      <c r="Y187" s="502"/>
      <c r="Z187" s="502"/>
      <c r="AA187" s="502"/>
      <c r="AB187" s="502"/>
      <c r="AC187" s="502"/>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2"/>
      <c r="AY187" s="502"/>
      <c r="AZ187" s="502"/>
      <c r="BA187" s="502"/>
      <c r="BB187" s="502"/>
      <c r="BC187" s="502"/>
      <c r="BD187" s="502"/>
      <c r="BE187" s="502"/>
      <c r="BF187" s="502"/>
      <c r="BG187" s="502"/>
      <c r="BH187" s="502"/>
      <c r="BI187" s="502"/>
      <c r="BJ187" s="502"/>
      <c r="BK187" s="502"/>
      <c r="BL187" s="502"/>
      <c r="BM187" s="502"/>
      <c r="BN187" s="502"/>
      <c r="BO187" s="502"/>
      <c r="BP187" s="502"/>
      <c r="BQ187" s="502"/>
      <c r="BR187" s="502"/>
      <c r="BS187" s="502"/>
      <c r="BT187" s="502"/>
      <c r="BU187" s="502"/>
      <c r="BV187" s="502"/>
      <c r="BW187" s="388"/>
      <c r="BZ187" s="411"/>
      <c r="CA187" s="411"/>
    </row>
    <row r="188" spans="1:79" ht="15" customHeight="1" x14ac:dyDescent="0.2">
      <c r="A188" s="388"/>
      <c r="B188" s="388"/>
      <c r="D188" s="506"/>
      <c r="E188" s="427"/>
      <c r="F188" s="430"/>
      <c r="G188" s="397" t="str">
        <f>G8</f>
        <v>2020/21</v>
      </c>
      <c r="H188" s="466"/>
      <c r="I188" s="466"/>
      <c r="J188" s="466"/>
      <c r="K188" s="466"/>
      <c r="L188" s="466"/>
      <c r="M188" s="466"/>
      <c r="N188" s="466"/>
      <c r="O188" s="466"/>
      <c r="P188" s="466"/>
      <c r="Q188" s="466"/>
      <c r="R188" s="466"/>
      <c r="S188" s="466"/>
      <c r="T188" s="466"/>
      <c r="U188" s="466"/>
      <c r="V188" s="466"/>
      <c r="W188" s="466"/>
      <c r="X188" s="466"/>
      <c r="Y188" s="466"/>
      <c r="Z188" s="466"/>
      <c r="AA188" s="466"/>
      <c r="AB188" s="466"/>
      <c r="AC188" s="466"/>
      <c r="AD188" s="466"/>
      <c r="AE188" s="466"/>
      <c r="AF188" s="466"/>
      <c r="AG188" s="466"/>
      <c r="AH188" s="466"/>
      <c r="AI188" s="466"/>
      <c r="AJ188" s="466"/>
      <c r="AK188" s="466"/>
      <c r="AL188" s="466"/>
      <c r="AM188" s="466"/>
      <c r="AN188" s="466"/>
      <c r="AO188" s="466"/>
      <c r="AP188" s="466"/>
      <c r="AQ188" s="466"/>
      <c r="AR188" s="466"/>
      <c r="AS188" s="466"/>
      <c r="AT188" s="466"/>
      <c r="AU188" s="466"/>
      <c r="AV188" s="466"/>
      <c r="AW188" s="466"/>
      <c r="AX188" s="466"/>
      <c r="AY188" s="466"/>
      <c r="AZ188" s="466"/>
      <c r="BA188" s="466"/>
      <c r="BB188" s="466"/>
      <c r="BC188" s="466"/>
      <c r="BD188" s="466"/>
      <c r="BE188" s="466"/>
      <c r="BF188" s="466"/>
      <c r="BG188" s="466"/>
      <c r="BH188" s="466"/>
      <c r="BI188" s="466"/>
      <c r="BJ188" s="466"/>
      <c r="BK188" s="466"/>
      <c r="BL188" s="466"/>
      <c r="BM188" s="466"/>
      <c r="BN188" s="466"/>
      <c r="BO188" s="466"/>
      <c r="BP188" s="466"/>
      <c r="BQ188" s="466"/>
      <c r="BR188" s="466"/>
      <c r="BS188" s="466"/>
      <c r="BT188" s="466"/>
      <c r="BU188" s="507"/>
      <c r="BV188" s="507"/>
      <c r="BW188" s="398"/>
      <c r="BZ188" s="411"/>
      <c r="CA188" s="411"/>
    </row>
    <row r="189" spans="1:79" ht="18" customHeight="1" x14ac:dyDescent="0.2">
      <c r="A189" s="388"/>
      <c r="B189" s="388"/>
      <c r="D189" s="508"/>
      <c r="F189" s="388"/>
      <c r="G189" s="133" t="str">
        <f>G9</f>
        <v>Revised</v>
      </c>
      <c r="H189" s="119"/>
      <c r="I189" s="119"/>
      <c r="J189" s="134"/>
      <c r="K189" s="119"/>
      <c r="L189" s="119" t="s">
        <v>5</v>
      </c>
      <c r="M189" s="119"/>
      <c r="N189" s="119"/>
      <c r="O189" s="134"/>
      <c r="P189" s="119"/>
      <c r="Q189" s="119" t="s">
        <v>6</v>
      </c>
      <c r="R189" s="119"/>
      <c r="S189" s="119"/>
      <c r="T189" s="134"/>
      <c r="U189" s="119"/>
      <c r="V189" s="119" t="s">
        <v>7</v>
      </c>
      <c r="W189" s="119"/>
      <c r="X189" s="119"/>
      <c r="Y189" s="134"/>
      <c r="Z189" s="119"/>
      <c r="AA189" s="119" t="s">
        <v>8</v>
      </c>
      <c r="AB189" s="119"/>
      <c r="AC189" s="119"/>
      <c r="AD189" s="134"/>
      <c r="AE189" s="119"/>
      <c r="AF189" s="119" t="s">
        <v>9</v>
      </c>
      <c r="AG189" s="119"/>
      <c r="AH189" s="119"/>
      <c r="AI189" s="134"/>
      <c r="AJ189" s="119"/>
      <c r="AK189" s="119" t="s">
        <v>10</v>
      </c>
      <c r="AL189" s="119"/>
      <c r="AM189" s="119"/>
      <c r="AN189" s="134"/>
      <c r="AO189" s="119"/>
      <c r="AP189" s="119" t="s">
        <v>11</v>
      </c>
      <c r="AQ189" s="119"/>
      <c r="AR189" s="119"/>
      <c r="AS189" s="134"/>
      <c r="AT189" s="119"/>
      <c r="AU189" s="119" t="s">
        <v>12</v>
      </c>
      <c r="AV189" s="119"/>
      <c r="AW189" s="119"/>
      <c r="AX189" s="134"/>
      <c r="AY189" s="119"/>
      <c r="AZ189" s="119" t="s">
        <v>13</v>
      </c>
      <c r="BA189" s="119"/>
      <c r="BB189" s="119"/>
      <c r="BC189" s="134"/>
      <c r="BD189" s="119"/>
      <c r="BE189" s="119" t="s">
        <v>14</v>
      </c>
      <c r="BF189" s="119"/>
      <c r="BG189" s="119"/>
      <c r="BH189" s="134"/>
      <c r="BI189" s="133"/>
      <c r="BJ189" s="133" t="s">
        <v>15</v>
      </c>
      <c r="BK189" s="133"/>
      <c r="BL189" s="117"/>
      <c r="BM189" s="134"/>
      <c r="BN189" s="133"/>
      <c r="BO189" s="133" t="s">
        <v>16</v>
      </c>
      <c r="BP189" s="133"/>
      <c r="BQ189" s="117"/>
      <c r="BR189" s="134"/>
      <c r="BS189" s="133"/>
      <c r="BT189" s="119" t="s">
        <v>17</v>
      </c>
      <c r="BU189" s="119"/>
      <c r="BV189" s="119"/>
      <c r="BW189" s="398"/>
      <c r="BZ189" s="411"/>
      <c r="CA189" s="411"/>
    </row>
    <row r="190" spans="1:79" ht="12.75" x14ac:dyDescent="0.2">
      <c r="A190" s="388"/>
      <c r="B190" s="388"/>
      <c r="D190" s="399" t="s">
        <v>18</v>
      </c>
      <c r="E190" s="467"/>
      <c r="F190" s="468"/>
      <c r="G190" s="402" t="s">
        <v>20</v>
      </c>
      <c r="H190" s="402"/>
      <c r="I190" s="122"/>
      <c r="J190" s="401"/>
      <c r="K190" s="402"/>
      <c r="L190" s="402"/>
      <c r="M190" s="402"/>
      <c r="N190" s="402"/>
      <c r="O190" s="401"/>
      <c r="P190" s="402"/>
      <c r="Q190" s="402"/>
      <c r="R190" s="402"/>
      <c r="S190" s="402"/>
      <c r="T190" s="401"/>
      <c r="U190" s="402"/>
      <c r="V190" s="402"/>
      <c r="W190" s="402"/>
      <c r="X190" s="402"/>
      <c r="Y190" s="401"/>
      <c r="Z190" s="402"/>
      <c r="AA190" s="402"/>
      <c r="AB190" s="402"/>
      <c r="AC190" s="402"/>
      <c r="AD190" s="401"/>
      <c r="AE190" s="402"/>
      <c r="AF190" s="402"/>
      <c r="AG190" s="402"/>
      <c r="AH190" s="402"/>
      <c r="AI190" s="401"/>
      <c r="AJ190" s="402"/>
      <c r="AK190" s="402"/>
      <c r="AL190" s="402"/>
      <c r="AM190" s="402"/>
      <c r="AN190" s="401"/>
      <c r="AO190" s="402"/>
      <c r="AP190" s="402"/>
      <c r="AQ190" s="402"/>
      <c r="AR190" s="402"/>
      <c r="AS190" s="401"/>
      <c r="AT190" s="402"/>
      <c r="AU190" s="402"/>
      <c r="AV190" s="402"/>
      <c r="AW190" s="402"/>
      <c r="AX190" s="401"/>
      <c r="AY190" s="402"/>
      <c r="AZ190" s="402"/>
      <c r="BA190" s="402"/>
      <c r="BB190" s="402"/>
      <c r="BC190" s="401"/>
      <c r="BD190" s="402"/>
      <c r="BE190" s="402"/>
      <c r="BF190" s="402"/>
      <c r="BG190" s="402"/>
      <c r="BH190" s="401"/>
      <c r="BI190" s="402"/>
      <c r="BJ190" s="402"/>
      <c r="BK190" s="402"/>
      <c r="BL190" s="122"/>
      <c r="BM190" s="401"/>
      <c r="BN190" s="402"/>
      <c r="BO190" s="402"/>
      <c r="BP190" s="402"/>
      <c r="BQ190" s="122"/>
      <c r="BR190" s="401"/>
      <c r="BS190" s="402"/>
      <c r="BT190" s="402"/>
      <c r="BU190" s="402"/>
      <c r="BV190" s="122"/>
      <c r="BW190" s="398"/>
      <c r="BZ190" s="411"/>
      <c r="CA190" s="411"/>
    </row>
    <row r="191" spans="1:79" ht="12.75" x14ac:dyDescent="0.2">
      <c r="A191" s="388"/>
      <c r="B191" s="388"/>
      <c r="D191" s="398"/>
      <c r="E191" s="509"/>
      <c r="F191" s="239"/>
      <c r="G191" s="101"/>
      <c r="H191" s="101"/>
      <c r="I191" s="101"/>
      <c r="J191" s="487"/>
      <c r="K191" s="239"/>
      <c r="L191" s="101"/>
      <c r="M191" s="101"/>
      <c r="N191" s="101"/>
      <c r="O191" s="487"/>
      <c r="P191" s="239"/>
      <c r="Q191" s="101"/>
      <c r="R191" s="101"/>
      <c r="S191" s="101"/>
      <c r="T191" s="487"/>
      <c r="U191" s="239"/>
      <c r="V191" s="101"/>
      <c r="W191" s="101"/>
      <c r="X191" s="101"/>
      <c r="Y191" s="487"/>
      <c r="Z191" s="239"/>
      <c r="AA191" s="101"/>
      <c r="AB191" s="101"/>
      <c r="AC191" s="101"/>
      <c r="AD191" s="487"/>
      <c r="AE191" s="239"/>
      <c r="AF191" s="101"/>
      <c r="AG191" s="101"/>
      <c r="AH191" s="101"/>
      <c r="AI191" s="487"/>
      <c r="AJ191" s="239"/>
      <c r="AK191" s="101"/>
      <c r="AL191" s="101"/>
      <c r="AM191" s="101"/>
      <c r="AN191" s="487"/>
      <c r="AO191" s="239"/>
      <c r="AP191" s="101"/>
      <c r="AQ191" s="101"/>
      <c r="AR191" s="101"/>
      <c r="AS191" s="487"/>
      <c r="AT191" s="239"/>
      <c r="AU191" s="101"/>
      <c r="AV191" s="101"/>
      <c r="AW191" s="101"/>
      <c r="AX191" s="487"/>
      <c r="AY191" s="239"/>
      <c r="AZ191" s="101"/>
      <c r="BA191" s="101"/>
      <c r="BB191" s="101"/>
      <c r="BC191" s="487"/>
      <c r="BD191" s="239"/>
      <c r="BE191" s="101"/>
      <c r="BF191" s="101"/>
      <c r="BG191" s="101"/>
      <c r="BH191" s="487"/>
      <c r="BI191" s="239"/>
      <c r="BJ191" s="101"/>
      <c r="BK191" s="101"/>
      <c r="BL191" s="101"/>
      <c r="BM191" s="487"/>
      <c r="BN191" s="239"/>
      <c r="BO191" s="101"/>
      <c r="BP191" s="101"/>
      <c r="BQ191" s="101"/>
      <c r="BR191" s="487"/>
      <c r="BS191" s="239"/>
      <c r="BT191" s="101"/>
      <c r="BU191" s="101"/>
      <c r="BV191" s="101"/>
      <c r="BW191" s="398"/>
      <c r="BZ191" s="411"/>
      <c r="CA191" s="411"/>
    </row>
    <row r="192" spans="1:79" ht="12.75" x14ac:dyDescent="0.2">
      <c r="A192" s="388"/>
      <c r="B192" s="388"/>
      <c r="D192" s="398" t="s">
        <v>408</v>
      </c>
      <c r="F192" s="430"/>
      <c r="G192" s="496">
        <v>0</v>
      </c>
      <c r="H192" s="496"/>
      <c r="I192" s="101"/>
      <c r="J192" s="487"/>
      <c r="K192" s="430"/>
      <c r="L192" s="496">
        <f>SUM(L193:L204)</f>
        <v>0</v>
      </c>
      <c r="M192" s="496"/>
      <c r="N192" s="101"/>
      <c r="O192" s="487"/>
      <c r="P192" s="430"/>
      <c r="Q192" s="496">
        <f>SUM(Q193:Q204)</f>
        <v>0</v>
      </c>
      <c r="R192" s="496"/>
      <c r="S192" s="101"/>
      <c r="T192" s="487"/>
      <c r="U192" s="430"/>
      <c r="V192" s="496">
        <f>SUM(V193:V204)</f>
        <v>0</v>
      </c>
      <c r="W192" s="496"/>
      <c r="X192" s="101"/>
      <c r="Y192" s="487"/>
      <c r="Z192" s="430"/>
      <c r="AA192" s="496">
        <f>SUM(AA193:AA204)</f>
        <v>0</v>
      </c>
      <c r="AB192" s="496"/>
      <c r="AC192" s="101"/>
      <c r="AD192" s="487"/>
      <c r="AE192" s="430"/>
      <c r="AF192" s="496">
        <f>SUM(AF193:AF204)</f>
        <v>0</v>
      </c>
      <c r="AG192" s="496"/>
      <c r="AH192" s="101"/>
      <c r="AI192" s="487"/>
      <c r="AJ192" s="430"/>
      <c r="AK192" s="496">
        <f>SUM(AK193:AK204)</f>
        <v>0</v>
      </c>
      <c r="AL192" s="496"/>
      <c r="AM192" s="101"/>
      <c r="AN192" s="487"/>
      <c r="AO192" s="430"/>
      <c r="AP192" s="496">
        <f>SUM(AP193:AP204)</f>
        <v>0</v>
      </c>
      <c r="AQ192" s="496"/>
      <c r="AR192" s="101"/>
      <c r="AS192" s="487"/>
      <c r="AT192" s="430"/>
      <c r="AU192" s="496">
        <f>SUM(AU193:AU204)</f>
        <v>0</v>
      </c>
      <c r="AV192" s="496"/>
      <c r="AW192" s="101"/>
      <c r="AX192" s="487"/>
      <c r="AY192" s="430"/>
      <c r="AZ192" s="496">
        <f>SUM(AZ193:AZ204)</f>
        <v>0</v>
      </c>
      <c r="BA192" s="496"/>
      <c r="BB192" s="101"/>
      <c r="BC192" s="487"/>
      <c r="BD192" s="430"/>
      <c r="BE192" s="496">
        <f>SUM(BE193:BE204)</f>
        <v>0</v>
      </c>
      <c r="BF192" s="496"/>
      <c r="BG192" s="101"/>
      <c r="BH192" s="487"/>
      <c r="BI192" s="430"/>
      <c r="BJ192" s="496">
        <f>SUM(BJ193:BJ204)</f>
        <v>0</v>
      </c>
      <c r="BK192" s="496"/>
      <c r="BL192" s="101"/>
      <c r="BM192" s="487"/>
      <c r="BN192" s="430"/>
      <c r="BO192" s="496">
        <f>SUM(BO193:BO204)</f>
        <v>0</v>
      </c>
      <c r="BP192" s="496"/>
      <c r="BQ192" s="101"/>
      <c r="BR192" s="487"/>
      <c r="BS192" s="430"/>
      <c r="BT192" s="496">
        <f>SUM(BT193:BT204)</f>
        <v>0</v>
      </c>
      <c r="BU192" s="496"/>
      <c r="BV192" s="101"/>
      <c r="BW192" s="398"/>
      <c r="BZ192" s="411"/>
      <c r="CA192" s="411"/>
    </row>
    <row r="193" spans="1:79" ht="12.75" hidden="1" customHeight="1" x14ac:dyDescent="0.2">
      <c r="A193" s="388"/>
      <c r="B193" s="388"/>
      <c r="D193" s="398" t="s">
        <v>409</v>
      </c>
      <c r="F193" s="412"/>
      <c r="G193" s="485">
        <v>0</v>
      </c>
      <c r="H193" s="486"/>
      <c r="I193" s="101"/>
      <c r="J193" s="487"/>
      <c r="K193" s="412"/>
      <c r="L193" s="485">
        <v>0</v>
      </c>
      <c r="M193" s="486"/>
      <c r="N193" s="101"/>
      <c r="O193" s="487"/>
      <c r="P193" s="412"/>
      <c r="Q193" s="485">
        <v>0</v>
      </c>
      <c r="R193" s="486"/>
      <c r="S193" s="101"/>
      <c r="T193" s="487"/>
      <c r="U193" s="430"/>
      <c r="V193" s="485">
        <v>0</v>
      </c>
      <c r="W193" s="496"/>
      <c r="X193" s="101"/>
      <c r="Y193" s="487"/>
      <c r="Z193" s="412"/>
      <c r="AA193" s="485">
        <v>0</v>
      </c>
      <c r="AB193" s="486"/>
      <c r="AC193" s="101"/>
      <c r="AD193" s="487"/>
      <c r="AE193" s="412"/>
      <c r="AF193" s="485">
        <v>0</v>
      </c>
      <c r="AG193" s="486"/>
      <c r="AH193" s="101"/>
      <c r="AI193" s="487"/>
      <c r="AJ193" s="412"/>
      <c r="AK193" s="485">
        <v>0</v>
      </c>
      <c r="AL193" s="486"/>
      <c r="AM193" s="101"/>
      <c r="AN193" s="487"/>
      <c r="AO193" s="412"/>
      <c r="AP193" s="485">
        <v>0</v>
      </c>
      <c r="AQ193" s="486"/>
      <c r="AR193" s="101"/>
      <c r="AS193" s="487"/>
      <c r="AT193" s="412"/>
      <c r="AU193" s="485">
        <v>0</v>
      </c>
      <c r="AV193" s="486"/>
      <c r="AW193" s="101"/>
      <c r="AX193" s="487"/>
      <c r="AY193" s="412"/>
      <c r="AZ193" s="485">
        <v>0</v>
      </c>
      <c r="BA193" s="486"/>
      <c r="BB193" s="101"/>
      <c r="BC193" s="487"/>
      <c r="BD193" s="412"/>
      <c r="BE193" s="485">
        <v>0</v>
      </c>
      <c r="BF193" s="486"/>
      <c r="BG193" s="101"/>
      <c r="BH193" s="487"/>
      <c r="BI193" s="412"/>
      <c r="BJ193" s="485">
        <v>0</v>
      </c>
      <c r="BK193" s="486"/>
      <c r="BL193" s="101"/>
      <c r="BM193" s="487"/>
      <c r="BN193" s="412"/>
      <c r="BO193" s="485">
        <v>0</v>
      </c>
      <c r="BP193" s="486"/>
      <c r="BQ193" s="101"/>
      <c r="BR193" s="487"/>
      <c r="BS193" s="412"/>
      <c r="BT193" s="485">
        <f t="shared" ref="BT193:BT204" si="0">SUM(L193:BO193)</f>
        <v>0</v>
      </c>
      <c r="BU193" s="486"/>
      <c r="BV193" s="101"/>
      <c r="BW193" s="398"/>
      <c r="BZ193" s="411"/>
      <c r="CA193" s="411"/>
    </row>
    <row r="194" spans="1:79" ht="12.75" hidden="1" customHeight="1" x14ac:dyDescent="0.2">
      <c r="A194" s="388"/>
      <c r="B194" s="388"/>
      <c r="D194" s="398" t="s">
        <v>410</v>
      </c>
      <c r="F194" s="404"/>
      <c r="G194" s="101">
        <v>0</v>
      </c>
      <c r="H194" s="49"/>
      <c r="I194" s="101"/>
      <c r="J194" s="487"/>
      <c r="K194" s="404"/>
      <c r="L194" s="101">
        <v>0</v>
      </c>
      <c r="M194" s="49"/>
      <c r="N194" s="101"/>
      <c r="O194" s="487"/>
      <c r="P194" s="404"/>
      <c r="Q194" s="101">
        <v>0</v>
      </c>
      <c r="R194" s="49"/>
      <c r="S194" s="101"/>
      <c r="T194" s="487"/>
      <c r="U194" s="404"/>
      <c r="V194" s="101">
        <v>0</v>
      </c>
      <c r="W194" s="49"/>
      <c r="X194" s="101"/>
      <c r="Y194" s="487"/>
      <c r="Z194" s="404"/>
      <c r="AA194" s="101">
        <v>0</v>
      </c>
      <c r="AB194" s="49"/>
      <c r="AC194" s="101"/>
      <c r="AD194" s="487"/>
      <c r="AE194" s="404"/>
      <c r="AF194" s="101">
        <v>0</v>
      </c>
      <c r="AG194" s="49"/>
      <c r="AH194" s="101"/>
      <c r="AI194" s="487"/>
      <c r="AJ194" s="404"/>
      <c r="AK194" s="101">
        <v>0</v>
      </c>
      <c r="AL194" s="49"/>
      <c r="AM194" s="101"/>
      <c r="AN194" s="487"/>
      <c r="AO194" s="404"/>
      <c r="AP194" s="101">
        <v>0</v>
      </c>
      <c r="AQ194" s="49"/>
      <c r="AR194" s="101"/>
      <c r="AS194" s="487"/>
      <c r="AT194" s="404"/>
      <c r="AU194" s="101">
        <v>0</v>
      </c>
      <c r="AV194" s="49"/>
      <c r="AW194" s="101"/>
      <c r="AX194" s="487"/>
      <c r="AY194" s="404"/>
      <c r="AZ194" s="101">
        <v>0</v>
      </c>
      <c r="BA194" s="49"/>
      <c r="BB194" s="101"/>
      <c r="BC194" s="487"/>
      <c r="BD194" s="404"/>
      <c r="BE194" s="101">
        <v>0</v>
      </c>
      <c r="BF194" s="49"/>
      <c r="BG194" s="101"/>
      <c r="BH194" s="487"/>
      <c r="BI194" s="404"/>
      <c r="BJ194" s="101">
        <v>0</v>
      </c>
      <c r="BK194" s="49"/>
      <c r="BL194" s="101"/>
      <c r="BM194" s="487"/>
      <c r="BN194" s="404"/>
      <c r="BO194" s="101">
        <v>0</v>
      </c>
      <c r="BP194" s="49"/>
      <c r="BQ194" s="101"/>
      <c r="BR194" s="487"/>
      <c r="BS194" s="404"/>
      <c r="BT194" s="101">
        <f t="shared" si="0"/>
        <v>0</v>
      </c>
      <c r="BU194" s="49"/>
      <c r="BV194" s="101"/>
      <c r="BW194" s="398"/>
      <c r="BZ194" s="411"/>
      <c r="CA194" s="411"/>
    </row>
    <row r="195" spans="1:79" ht="12.75" hidden="1" customHeight="1" x14ac:dyDescent="0.2">
      <c r="A195" s="388"/>
      <c r="B195" s="388"/>
      <c r="D195" s="398" t="s">
        <v>411</v>
      </c>
      <c r="F195" s="404"/>
      <c r="G195" s="101">
        <v>0</v>
      </c>
      <c r="H195" s="49"/>
      <c r="I195" s="101"/>
      <c r="J195" s="487"/>
      <c r="K195" s="404"/>
      <c r="L195" s="101">
        <v>0</v>
      </c>
      <c r="M195" s="49"/>
      <c r="N195" s="101"/>
      <c r="O195" s="487"/>
      <c r="P195" s="404"/>
      <c r="Q195" s="101">
        <v>0</v>
      </c>
      <c r="R195" s="49"/>
      <c r="S195" s="101"/>
      <c r="T195" s="487"/>
      <c r="U195" s="404"/>
      <c r="V195" s="101">
        <v>0</v>
      </c>
      <c r="W195" s="49"/>
      <c r="X195" s="101"/>
      <c r="Y195" s="487"/>
      <c r="Z195" s="404"/>
      <c r="AA195" s="101">
        <v>0</v>
      </c>
      <c r="AB195" s="49"/>
      <c r="AC195" s="101"/>
      <c r="AD195" s="487"/>
      <c r="AE195" s="404"/>
      <c r="AF195" s="101">
        <v>0</v>
      </c>
      <c r="AG195" s="49"/>
      <c r="AH195" s="101"/>
      <c r="AI195" s="487"/>
      <c r="AJ195" s="404"/>
      <c r="AK195" s="101">
        <v>0</v>
      </c>
      <c r="AL195" s="49"/>
      <c r="AM195" s="101"/>
      <c r="AN195" s="487"/>
      <c r="AO195" s="404"/>
      <c r="AP195" s="101">
        <v>0</v>
      </c>
      <c r="AQ195" s="49"/>
      <c r="AR195" s="101"/>
      <c r="AS195" s="487"/>
      <c r="AT195" s="404"/>
      <c r="AU195" s="101">
        <v>0</v>
      </c>
      <c r="AV195" s="49"/>
      <c r="AW195" s="101"/>
      <c r="AX195" s="487"/>
      <c r="AY195" s="404"/>
      <c r="AZ195" s="101">
        <v>0</v>
      </c>
      <c r="BA195" s="49"/>
      <c r="BB195" s="101"/>
      <c r="BC195" s="487"/>
      <c r="BD195" s="404"/>
      <c r="BE195" s="101">
        <v>0</v>
      </c>
      <c r="BF195" s="49"/>
      <c r="BG195" s="101"/>
      <c r="BH195" s="487"/>
      <c r="BI195" s="404"/>
      <c r="BJ195" s="101">
        <v>0</v>
      </c>
      <c r="BK195" s="49"/>
      <c r="BL195" s="101"/>
      <c r="BM195" s="487"/>
      <c r="BN195" s="404"/>
      <c r="BO195" s="101">
        <v>0</v>
      </c>
      <c r="BP195" s="49"/>
      <c r="BQ195" s="101"/>
      <c r="BR195" s="487"/>
      <c r="BS195" s="404"/>
      <c r="BT195" s="101">
        <f>SUM(L195:BO195)</f>
        <v>0</v>
      </c>
      <c r="BU195" s="49"/>
      <c r="BV195" s="101"/>
      <c r="BW195" s="398"/>
      <c r="BZ195" s="411"/>
      <c r="CA195" s="411"/>
    </row>
    <row r="196" spans="1:79" ht="12.75" hidden="1" customHeight="1" x14ac:dyDescent="0.2">
      <c r="A196" s="388"/>
      <c r="B196" s="388"/>
      <c r="D196" s="398" t="s">
        <v>412</v>
      </c>
      <c r="F196" s="404"/>
      <c r="G196" s="101">
        <v>0</v>
      </c>
      <c r="H196" s="49"/>
      <c r="I196" s="101"/>
      <c r="J196" s="487"/>
      <c r="K196" s="404"/>
      <c r="L196" s="101">
        <v>0</v>
      </c>
      <c r="M196" s="49"/>
      <c r="N196" s="101"/>
      <c r="O196" s="487"/>
      <c r="P196" s="404"/>
      <c r="Q196" s="101">
        <v>0</v>
      </c>
      <c r="R196" s="49"/>
      <c r="S196" s="101"/>
      <c r="T196" s="487"/>
      <c r="U196" s="404"/>
      <c r="V196" s="101">
        <v>0</v>
      </c>
      <c r="W196" s="49"/>
      <c r="X196" s="101"/>
      <c r="Y196" s="487"/>
      <c r="Z196" s="404"/>
      <c r="AA196" s="101">
        <v>0</v>
      </c>
      <c r="AB196" s="49"/>
      <c r="AC196" s="101"/>
      <c r="AD196" s="487"/>
      <c r="AE196" s="404"/>
      <c r="AF196" s="101">
        <v>0</v>
      </c>
      <c r="AG196" s="49"/>
      <c r="AH196" s="101"/>
      <c r="AI196" s="487"/>
      <c r="AJ196" s="404"/>
      <c r="AK196" s="101">
        <v>0</v>
      </c>
      <c r="AL196" s="49"/>
      <c r="AM196" s="101"/>
      <c r="AN196" s="487"/>
      <c r="AO196" s="404"/>
      <c r="AP196" s="101">
        <v>0</v>
      </c>
      <c r="AQ196" s="49"/>
      <c r="AR196" s="101"/>
      <c r="AS196" s="487"/>
      <c r="AT196" s="404"/>
      <c r="AU196" s="101">
        <v>0</v>
      </c>
      <c r="AV196" s="49"/>
      <c r="AW196" s="101"/>
      <c r="AX196" s="487"/>
      <c r="AY196" s="404"/>
      <c r="AZ196" s="101">
        <v>0</v>
      </c>
      <c r="BA196" s="49"/>
      <c r="BB196" s="101"/>
      <c r="BC196" s="487"/>
      <c r="BD196" s="404"/>
      <c r="BE196" s="101">
        <v>0</v>
      </c>
      <c r="BF196" s="49"/>
      <c r="BG196" s="101"/>
      <c r="BH196" s="487"/>
      <c r="BI196" s="404"/>
      <c r="BJ196" s="101">
        <v>0</v>
      </c>
      <c r="BK196" s="49"/>
      <c r="BL196" s="101"/>
      <c r="BM196" s="487"/>
      <c r="BN196" s="404"/>
      <c r="BO196" s="101">
        <v>0</v>
      </c>
      <c r="BP196" s="49"/>
      <c r="BQ196" s="101"/>
      <c r="BR196" s="487"/>
      <c r="BS196" s="404"/>
      <c r="BT196" s="101">
        <f t="shared" si="0"/>
        <v>0</v>
      </c>
      <c r="BU196" s="49"/>
      <c r="BV196" s="101"/>
      <c r="BW196" s="398"/>
      <c r="BZ196" s="411"/>
      <c r="CA196" s="411"/>
    </row>
    <row r="197" spans="1:79" ht="12.75" hidden="1" customHeight="1" x14ac:dyDescent="0.2">
      <c r="A197" s="388"/>
      <c r="B197" s="388"/>
      <c r="D197" s="398" t="s">
        <v>413</v>
      </c>
      <c r="F197" s="404"/>
      <c r="G197" s="101">
        <v>0</v>
      </c>
      <c r="H197" s="49"/>
      <c r="I197" s="101"/>
      <c r="J197" s="487"/>
      <c r="K197" s="404"/>
      <c r="L197" s="101">
        <v>0</v>
      </c>
      <c r="M197" s="49"/>
      <c r="N197" s="101"/>
      <c r="O197" s="487"/>
      <c r="P197" s="404"/>
      <c r="Q197" s="101">
        <v>0</v>
      </c>
      <c r="R197" s="49"/>
      <c r="S197" s="101"/>
      <c r="T197" s="487"/>
      <c r="U197" s="404"/>
      <c r="V197" s="101">
        <v>0</v>
      </c>
      <c r="W197" s="49"/>
      <c r="X197" s="101"/>
      <c r="Y197" s="487"/>
      <c r="Z197" s="404"/>
      <c r="AA197" s="101">
        <v>0</v>
      </c>
      <c r="AB197" s="49"/>
      <c r="AC197" s="101"/>
      <c r="AD197" s="487"/>
      <c r="AE197" s="404"/>
      <c r="AF197" s="101">
        <v>0</v>
      </c>
      <c r="AG197" s="49"/>
      <c r="AH197" s="101"/>
      <c r="AI197" s="487"/>
      <c r="AJ197" s="404"/>
      <c r="AK197" s="101">
        <v>0</v>
      </c>
      <c r="AL197" s="49"/>
      <c r="AM197" s="101"/>
      <c r="AN197" s="487"/>
      <c r="AO197" s="404"/>
      <c r="AP197" s="101">
        <v>0</v>
      </c>
      <c r="AQ197" s="49"/>
      <c r="AR197" s="101"/>
      <c r="AS197" s="487"/>
      <c r="AT197" s="404"/>
      <c r="AU197" s="101">
        <v>0</v>
      </c>
      <c r="AV197" s="49"/>
      <c r="AW197" s="101"/>
      <c r="AX197" s="487"/>
      <c r="AY197" s="404"/>
      <c r="AZ197" s="101">
        <v>0</v>
      </c>
      <c r="BA197" s="49"/>
      <c r="BB197" s="101"/>
      <c r="BC197" s="487"/>
      <c r="BD197" s="404"/>
      <c r="BE197" s="101">
        <v>0</v>
      </c>
      <c r="BF197" s="49"/>
      <c r="BG197" s="101"/>
      <c r="BH197" s="487"/>
      <c r="BI197" s="404"/>
      <c r="BJ197" s="101">
        <v>0</v>
      </c>
      <c r="BK197" s="49"/>
      <c r="BL197" s="101"/>
      <c r="BM197" s="487"/>
      <c r="BN197" s="404"/>
      <c r="BO197" s="101">
        <v>0</v>
      </c>
      <c r="BP197" s="49"/>
      <c r="BQ197" s="101"/>
      <c r="BR197" s="487"/>
      <c r="BS197" s="404"/>
      <c r="BT197" s="101">
        <f t="shared" si="0"/>
        <v>0</v>
      </c>
      <c r="BU197" s="49"/>
      <c r="BV197" s="101"/>
      <c r="BW197" s="398"/>
      <c r="BZ197" s="411"/>
      <c r="CA197" s="411"/>
    </row>
    <row r="198" spans="1:79" ht="12.75" hidden="1" customHeight="1" x14ac:dyDescent="0.2">
      <c r="A198" s="388"/>
      <c r="B198" s="388"/>
      <c r="D198" s="398" t="s">
        <v>414</v>
      </c>
      <c r="F198" s="404"/>
      <c r="G198" s="101">
        <v>0</v>
      </c>
      <c r="H198" s="49"/>
      <c r="I198" s="101"/>
      <c r="J198" s="487"/>
      <c r="K198" s="404"/>
      <c r="L198" s="101">
        <v>0</v>
      </c>
      <c r="M198" s="49"/>
      <c r="N198" s="101"/>
      <c r="O198" s="487"/>
      <c r="P198" s="404"/>
      <c r="Q198" s="101">
        <v>0</v>
      </c>
      <c r="R198" s="49"/>
      <c r="S198" s="101"/>
      <c r="T198" s="487"/>
      <c r="U198" s="404"/>
      <c r="V198" s="101">
        <v>0</v>
      </c>
      <c r="W198" s="49"/>
      <c r="X198" s="101"/>
      <c r="Y198" s="487"/>
      <c r="Z198" s="404"/>
      <c r="AA198" s="101">
        <v>0</v>
      </c>
      <c r="AB198" s="49"/>
      <c r="AC198" s="101"/>
      <c r="AD198" s="487"/>
      <c r="AE198" s="404"/>
      <c r="AF198" s="101">
        <v>0</v>
      </c>
      <c r="AG198" s="49"/>
      <c r="AH198" s="101"/>
      <c r="AI198" s="487"/>
      <c r="AJ198" s="404"/>
      <c r="AK198" s="101">
        <v>0</v>
      </c>
      <c r="AL198" s="49"/>
      <c r="AM198" s="101"/>
      <c r="AN198" s="487"/>
      <c r="AO198" s="404"/>
      <c r="AP198" s="101">
        <v>0</v>
      </c>
      <c r="AQ198" s="49"/>
      <c r="AR198" s="101"/>
      <c r="AS198" s="487"/>
      <c r="AT198" s="404"/>
      <c r="AU198" s="101">
        <v>0</v>
      </c>
      <c r="AV198" s="49"/>
      <c r="AW198" s="101"/>
      <c r="AX198" s="487"/>
      <c r="AY198" s="404"/>
      <c r="AZ198" s="101">
        <v>0</v>
      </c>
      <c r="BA198" s="49"/>
      <c r="BB198" s="101"/>
      <c r="BC198" s="487"/>
      <c r="BD198" s="404"/>
      <c r="BE198" s="101">
        <v>0</v>
      </c>
      <c r="BF198" s="49"/>
      <c r="BG198" s="101"/>
      <c r="BH198" s="487"/>
      <c r="BI198" s="404"/>
      <c r="BJ198" s="101">
        <v>0</v>
      </c>
      <c r="BK198" s="49"/>
      <c r="BL198" s="101"/>
      <c r="BM198" s="487"/>
      <c r="BN198" s="404"/>
      <c r="BO198" s="101">
        <v>0</v>
      </c>
      <c r="BP198" s="49"/>
      <c r="BQ198" s="101"/>
      <c r="BR198" s="487"/>
      <c r="BS198" s="404"/>
      <c r="BT198" s="101">
        <f t="shared" si="0"/>
        <v>0</v>
      </c>
      <c r="BU198" s="49"/>
      <c r="BV198" s="101"/>
      <c r="BW198" s="398"/>
      <c r="BZ198" s="411"/>
      <c r="CA198" s="411"/>
    </row>
    <row r="199" spans="1:79" ht="12.75" hidden="1" customHeight="1" x14ac:dyDescent="0.2">
      <c r="A199" s="388"/>
      <c r="B199" s="388"/>
      <c r="D199" s="398" t="s">
        <v>415</v>
      </c>
      <c r="F199" s="404"/>
      <c r="G199" s="101">
        <v>0</v>
      </c>
      <c r="H199" s="49"/>
      <c r="I199" s="101"/>
      <c r="J199" s="487"/>
      <c r="K199" s="404"/>
      <c r="L199" s="101">
        <v>0</v>
      </c>
      <c r="M199" s="49"/>
      <c r="N199" s="101"/>
      <c r="O199" s="487"/>
      <c r="P199" s="404"/>
      <c r="Q199" s="101">
        <v>0</v>
      </c>
      <c r="R199" s="49"/>
      <c r="S199" s="101"/>
      <c r="T199" s="487"/>
      <c r="U199" s="404"/>
      <c r="V199" s="101">
        <v>0</v>
      </c>
      <c r="W199" s="49"/>
      <c r="X199" s="101"/>
      <c r="Y199" s="487"/>
      <c r="Z199" s="404"/>
      <c r="AA199" s="101">
        <v>0</v>
      </c>
      <c r="AB199" s="49"/>
      <c r="AC199" s="101"/>
      <c r="AD199" s="487"/>
      <c r="AE199" s="404"/>
      <c r="AF199" s="101">
        <v>0</v>
      </c>
      <c r="AG199" s="49"/>
      <c r="AH199" s="101"/>
      <c r="AI199" s="487"/>
      <c r="AJ199" s="404"/>
      <c r="AK199" s="101">
        <v>0</v>
      </c>
      <c r="AL199" s="49"/>
      <c r="AM199" s="101"/>
      <c r="AN199" s="487"/>
      <c r="AO199" s="404"/>
      <c r="AP199" s="101">
        <v>0</v>
      </c>
      <c r="AQ199" s="49"/>
      <c r="AR199" s="101"/>
      <c r="AS199" s="487"/>
      <c r="AT199" s="404"/>
      <c r="AU199" s="101">
        <v>0</v>
      </c>
      <c r="AV199" s="49"/>
      <c r="AW199" s="101"/>
      <c r="AX199" s="487"/>
      <c r="AY199" s="404"/>
      <c r="AZ199" s="101">
        <v>0</v>
      </c>
      <c r="BA199" s="49"/>
      <c r="BB199" s="101"/>
      <c r="BC199" s="487"/>
      <c r="BD199" s="404"/>
      <c r="BE199" s="101">
        <v>0</v>
      </c>
      <c r="BF199" s="49"/>
      <c r="BG199" s="101"/>
      <c r="BH199" s="487"/>
      <c r="BI199" s="404"/>
      <c r="BJ199" s="101">
        <v>0</v>
      </c>
      <c r="BK199" s="49"/>
      <c r="BL199" s="101"/>
      <c r="BM199" s="487"/>
      <c r="BN199" s="404"/>
      <c r="BO199" s="101">
        <v>0</v>
      </c>
      <c r="BP199" s="49"/>
      <c r="BQ199" s="101"/>
      <c r="BR199" s="487"/>
      <c r="BS199" s="404"/>
      <c r="BT199" s="101">
        <f t="shared" si="0"/>
        <v>0</v>
      </c>
      <c r="BU199" s="49"/>
      <c r="BV199" s="101"/>
      <c r="BW199" s="398"/>
      <c r="BZ199" s="411"/>
      <c r="CA199" s="411"/>
    </row>
    <row r="200" spans="1:79" ht="12.75" hidden="1" customHeight="1" x14ac:dyDescent="0.2">
      <c r="A200" s="388"/>
      <c r="B200" s="388"/>
      <c r="D200" s="398" t="s">
        <v>416</v>
      </c>
      <c r="F200" s="404"/>
      <c r="G200" s="101">
        <v>0</v>
      </c>
      <c r="H200" s="49"/>
      <c r="I200" s="101"/>
      <c r="J200" s="487"/>
      <c r="K200" s="404"/>
      <c r="L200" s="101">
        <v>0</v>
      </c>
      <c r="M200" s="49"/>
      <c r="N200" s="101"/>
      <c r="O200" s="487"/>
      <c r="P200" s="404"/>
      <c r="Q200" s="101">
        <v>0</v>
      </c>
      <c r="R200" s="49"/>
      <c r="S200" s="101"/>
      <c r="T200" s="487"/>
      <c r="U200" s="404"/>
      <c r="V200" s="101">
        <v>0</v>
      </c>
      <c r="W200" s="49"/>
      <c r="X200" s="101"/>
      <c r="Y200" s="487"/>
      <c r="Z200" s="404"/>
      <c r="AA200" s="101">
        <v>0</v>
      </c>
      <c r="AB200" s="49"/>
      <c r="AC200" s="101"/>
      <c r="AD200" s="487"/>
      <c r="AE200" s="404"/>
      <c r="AF200" s="101">
        <v>0</v>
      </c>
      <c r="AG200" s="49"/>
      <c r="AH200" s="101"/>
      <c r="AI200" s="487"/>
      <c r="AJ200" s="404"/>
      <c r="AK200" s="101">
        <v>0</v>
      </c>
      <c r="AL200" s="49"/>
      <c r="AM200" s="101"/>
      <c r="AN200" s="487"/>
      <c r="AO200" s="404"/>
      <c r="AP200" s="101">
        <v>0</v>
      </c>
      <c r="AQ200" s="49"/>
      <c r="AR200" s="101"/>
      <c r="AS200" s="487"/>
      <c r="AT200" s="404"/>
      <c r="AU200" s="101">
        <v>0</v>
      </c>
      <c r="AV200" s="49"/>
      <c r="AW200" s="101"/>
      <c r="AX200" s="487"/>
      <c r="AY200" s="404"/>
      <c r="AZ200" s="101">
        <v>0</v>
      </c>
      <c r="BA200" s="49"/>
      <c r="BB200" s="101"/>
      <c r="BC200" s="487"/>
      <c r="BD200" s="404"/>
      <c r="BE200" s="101">
        <v>0</v>
      </c>
      <c r="BF200" s="49"/>
      <c r="BG200" s="101"/>
      <c r="BH200" s="487"/>
      <c r="BI200" s="404"/>
      <c r="BJ200" s="101">
        <v>0</v>
      </c>
      <c r="BK200" s="49"/>
      <c r="BL200" s="101"/>
      <c r="BM200" s="487"/>
      <c r="BN200" s="404"/>
      <c r="BO200" s="101">
        <v>0</v>
      </c>
      <c r="BP200" s="49"/>
      <c r="BQ200" s="101"/>
      <c r="BR200" s="487"/>
      <c r="BS200" s="404"/>
      <c r="BT200" s="101">
        <f t="shared" si="0"/>
        <v>0</v>
      </c>
      <c r="BU200" s="49"/>
      <c r="BV200" s="101"/>
      <c r="BW200" s="398"/>
      <c r="BZ200" s="411"/>
      <c r="CA200" s="411"/>
    </row>
    <row r="201" spans="1:79" ht="12.75" hidden="1" customHeight="1" x14ac:dyDescent="0.2">
      <c r="A201" s="388"/>
      <c r="B201" s="388"/>
      <c r="D201" s="398" t="s">
        <v>417</v>
      </c>
      <c r="F201" s="404"/>
      <c r="G201" s="101">
        <v>0</v>
      </c>
      <c r="H201" s="49"/>
      <c r="I201" s="101"/>
      <c r="J201" s="487"/>
      <c r="K201" s="404"/>
      <c r="L201" s="101">
        <v>0</v>
      </c>
      <c r="M201" s="49"/>
      <c r="N201" s="101"/>
      <c r="O201" s="487"/>
      <c r="P201" s="404"/>
      <c r="Q201" s="101">
        <v>0</v>
      </c>
      <c r="R201" s="49"/>
      <c r="S201" s="101"/>
      <c r="T201" s="487"/>
      <c r="U201" s="404"/>
      <c r="V201" s="101">
        <v>0</v>
      </c>
      <c r="W201" s="49"/>
      <c r="X201" s="101"/>
      <c r="Y201" s="487"/>
      <c r="Z201" s="404"/>
      <c r="AA201" s="101">
        <v>0</v>
      </c>
      <c r="AB201" s="49"/>
      <c r="AC201" s="101"/>
      <c r="AD201" s="487"/>
      <c r="AE201" s="404"/>
      <c r="AF201" s="101">
        <v>0</v>
      </c>
      <c r="AG201" s="49"/>
      <c r="AH201" s="101"/>
      <c r="AI201" s="487"/>
      <c r="AJ201" s="404"/>
      <c r="AK201" s="101">
        <v>0</v>
      </c>
      <c r="AL201" s="49"/>
      <c r="AM201" s="101"/>
      <c r="AN201" s="487"/>
      <c r="AO201" s="404"/>
      <c r="AP201" s="101">
        <v>0</v>
      </c>
      <c r="AQ201" s="49"/>
      <c r="AR201" s="101"/>
      <c r="AS201" s="487"/>
      <c r="AT201" s="404"/>
      <c r="AU201" s="101">
        <v>0</v>
      </c>
      <c r="AV201" s="49"/>
      <c r="AW201" s="101"/>
      <c r="AX201" s="487"/>
      <c r="AY201" s="404"/>
      <c r="AZ201" s="101">
        <v>0</v>
      </c>
      <c r="BA201" s="49"/>
      <c r="BB201" s="101"/>
      <c r="BC201" s="487"/>
      <c r="BD201" s="404"/>
      <c r="BE201" s="101">
        <v>0</v>
      </c>
      <c r="BF201" s="49"/>
      <c r="BG201" s="101"/>
      <c r="BH201" s="487"/>
      <c r="BI201" s="404"/>
      <c r="BJ201" s="101">
        <v>0</v>
      </c>
      <c r="BK201" s="49"/>
      <c r="BL201" s="101"/>
      <c r="BM201" s="487"/>
      <c r="BN201" s="404"/>
      <c r="BO201" s="101">
        <v>0</v>
      </c>
      <c r="BP201" s="49"/>
      <c r="BQ201" s="101"/>
      <c r="BR201" s="487"/>
      <c r="BS201" s="404"/>
      <c r="BT201" s="101">
        <f t="shared" si="0"/>
        <v>0</v>
      </c>
      <c r="BU201" s="49"/>
      <c r="BV201" s="101"/>
      <c r="BW201" s="398"/>
      <c r="BZ201" s="411"/>
      <c r="CA201" s="411"/>
    </row>
    <row r="202" spans="1:79" ht="12.75" x14ac:dyDescent="0.2">
      <c r="A202" s="388"/>
      <c r="B202" s="388"/>
      <c r="D202" s="398" t="s">
        <v>418</v>
      </c>
      <c r="F202" s="427"/>
      <c r="G202" s="496">
        <v>0</v>
      </c>
      <c r="H202" s="90"/>
      <c r="I202" s="101"/>
      <c r="J202" s="487"/>
      <c r="K202" s="427"/>
      <c r="L202" s="496">
        <v>0</v>
      </c>
      <c r="M202" s="90"/>
      <c r="N202" s="101"/>
      <c r="O202" s="487"/>
      <c r="P202" s="427"/>
      <c r="Q202" s="496">
        <v>0</v>
      </c>
      <c r="R202" s="90"/>
      <c r="S202" s="101"/>
      <c r="T202" s="487"/>
      <c r="U202" s="427"/>
      <c r="V202" s="496">
        <v>0</v>
      </c>
      <c r="W202" s="90"/>
      <c r="X202" s="101"/>
      <c r="Y202" s="487"/>
      <c r="Z202" s="427"/>
      <c r="AA202" s="496">
        <v>0</v>
      </c>
      <c r="AB202" s="90"/>
      <c r="AC202" s="101"/>
      <c r="AD202" s="487"/>
      <c r="AE202" s="427"/>
      <c r="AF202" s="496">
        <v>0</v>
      </c>
      <c r="AG202" s="90"/>
      <c r="AH202" s="101"/>
      <c r="AI202" s="487"/>
      <c r="AJ202" s="427"/>
      <c r="AK202" s="496">
        <v>0</v>
      </c>
      <c r="AL202" s="90"/>
      <c r="AM202" s="101"/>
      <c r="AN202" s="487"/>
      <c r="AO202" s="427"/>
      <c r="AP202" s="496">
        <v>0</v>
      </c>
      <c r="AQ202" s="90"/>
      <c r="AR202" s="101"/>
      <c r="AS202" s="487"/>
      <c r="AT202" s="497"/>
      <c r="AU202" s="496">
        <v>0</v>
      </c>
      <c r="AV202" s="90"/>
      <c r="AW202" s="101"/>
      <c r="AX202" s="487"/>
      <c r="AY202" s="497"/>
      <c r="AZ202" s="496">
        <v>0</v>
      </c>
      <c r="BA202" s="90"/>
      <c r="BB202" s="101"/>
      <c r="BC202" s="487"/>
      <c r="BD202" s="427"/>
      <c r="BE202" s="496">
        <v>0</v>
      </c>
      <c r="BF202" s="90"/>
      <c r="BG202" s="101"/>
      <c r="BH202" s="487"/>
      <c r="BI202" s="497"/>
      <c r="BJ202" s="496">
        <v>0</v>
      </c>
      <c r="BK202" s="90"/>
      <c r="BL202" s="101"/>
      <c r="BM202" s="487"/>
      <c r="BN202" s="497"/>
      <c r="BO202" s="496">
        <v>0</v>
      </c>
      <c r="BP202" s="90"/>
      <c r="BQ202" s="101"/>
      <c r="BR202" s="487"/>
      <c r="BS202" s="427"/>
      <c r="BT202" s="496">
        <f>SUM(L202:BO202)</f>
        <v>0</v>
      </c>
      <c r="BU202" s="90"/>
      <c r="BV202" s="101"/>
      <c r="BW202" s="398"/>
      <c r="BZ202" s="411"/>
      <c r="CA202" s="411"/>
    </row>
    <row r="203" spans="1:79" ht="12.75" hidden="1" customHeight="1" x14ac:dyDescent="0.2">
      <c r="A203" s="388"/>
      <c r="B203" s="388"/>
      <c r="D203" s="398" t="s">
        <v>419</v>
      </c>
      <c r="F203" s="404"/>
      <c r="G203" s="101">
        <v>0</v>
      </c>
      <c r="H203" s="49"/>
      <c r="I203" s="101"/>
      <c r="J203" s="487"/>
      <c r="K203" s="404"/>
      <c r="L203" s="101">
        <v>0</v>
      </c>
      <c r="M203" s="49"/>
      <c r="N203" s="101"/>
      <c r="O203" s="487"/>
      <c r="P203" s="404"/>
      <c r="Q203" s="101">
        <v>0</v>
      </c>
      <c r="R203" s="49"/>
      <c r="S203" s="101"/>
      <c r="T203" s="487"/>
      <c r="U203" s="404"/>
      <c r="V203" s="101">
        <v>0</v>
      </c>
      <c r="W203" s="49"/>
      <c r="X203" s="101"/>
      <c r="Y203" s="487"/>
      <c r="Z203" s="404"/>
      <c r="AA203" s="101">
        <v>0</v>
      </c>
      <c r="AB203" s="49"/>
      <c r="AC203" s="101"/>
      <c r="AD203" s="487"/>
      <c r="AE203" s="404"/>
      <c r="AF203" s="101">
        <v>0</v>
      </c>
      <c r="AG203" s="49"/>
      <c r="AH203" s="101"/>
      <c r="AI203" s="487"/>
      <c r="AJ203" s="404"/>
      <c r="AK203" s="101">
        <v>0</v>
      </c>
      <c r="AL203" s="49"/>
      <c r="AM203" s="101"/>
      <c r="AN203" s="487"/>
      <c r="AO203" s="404"/>
      <c r="AP203" s="101">
        <v>0</v>
      </c>
      <c r="AQ203" s="49"/>
      <c r="AR203" s="101"/>
      <c r="AS203" s="487"/>
      <c r="AT203" s="404"/>
      <c r="AU203" s="101">
        <v>0</v>
      </c>
      <c r="AV203" s="49"/>
      <c r="AW203" s="101"/>
      <c r="AX203" s="487"/>
      <c r="AY203" s="404"/>
      <c r="AZ203" s="101">
        <v>0</v>
      </c>
      <c r="BA203" s="49"/>
      <c r="BB203" s="101"/>
      <c r="BC203" s="487"/>
      <c r="BD203" s="404"/>
      <c r="BE203" s="101">
        <v>0</v>
      </c>
      <c r="BF203" s="49"/>
      <c r="BG203" s="101"/>
      <c r="BH203" s="487"/>
      <c r="BI203" s="404"/>
      <c r="BJ203" s="101">
        <v>0</v>
      </c>
      <c r="BK203" s="49"/>
      <c r="BL203" s="101"/>
      <c r="BM203" s="487"/>
      <c r="BN203" s="404"/>
      <c r="BO203" s="101">
        <v>0</v>
      </c>
      <c r="BP203" s="49"/>
      <c r="BQ203" s="101"/>
      <c r="BR203" s="487"/>
      <c r="BS203" s="487"/>
      <c r="BT203" s="101">
        <f t="shared" si="0"/>
        <v>0</v>
      </c>
      <c r="BU203" s="49"/>
      <c r="BV203" s="101"/>
      <c r="BW203" s="398"/>
      <c r="BZ203" s="411"/>
      <c r="CA203" s="411"/>
    </row>
    <row r="204" spans="1:79" ht="12.75" hidden="1" customHeight="1" x14ac:dyDescent="0.2">
      <c r="A204" s="388"/>
      <c r="B204" s="388"/>
      <c r="D204" s="398" t="s">
        <v>420</v>
      </c>
      <c r="F204" s="427"/>
      <c r="G204" s="496">
        <v>0</v>
      </c>
      <c r="H204" s="90"/>
      <c r="I204" s="101"/>
      <c r="J204" s="487"/>
      <c r="K204" s="427"/>
      <c r="L204" s="496">
        <v>0</v>
      </c>
      <c r="M204" s="90"/>
      <c r="N204" s="101"/>
      <c r="O204" s="487"/>
      <c r="P204" s="427"/>
      <c r="Q204" s="496">
        <v>0</v>
      </c>
      <c r="R204" s="90"/>
      <c r="S204" s="101"/>
      <c r="T204" s="487"/>
      <c r="U204" s="427"/>
      <c r="V204" s="496">
        <v>0</v>
      </c>
      <c r="W204" s="90"/>
      <c r="X204" s="101"/>
      <c r="Y204" s="487"/>
      <c r="Z204" s="427"/>
      <c r="AA204" s="496">
        <v>0</v>
      </c>
      <c r="AB204" s="90"/>
      <c r="AC204" s="101"/>
      <c r="AD204" s="487"/>
      <c r="AE204" s="427"/>
      <c r="AF204" s="496">
        <v>0</v>
      </c>
      <c r="AG204" s="90"/>
      <c r="AH204" s="101"/>
      <c r="AI204" s="487"/>
      <c r="AJ204" s="497"/>
      <c r="AK204" s="496">
        <v>0</v>
      </c>
      <c r="AL204" s="90"/>
      <c r="AM204" s="101"/>
      <c r="AN204" s="487"/>
      <c r="AO204" s="497"/>
      <c r="AP204" s="496">
        <v>0</v>
      </c>
      <c r="AQ204" s="90"/>
      <c r="AR204" s="101"/>
      <c r="AS204" s="487"/>
      <c r="AT204" s="497"/>
      <c r="AU204" s="496">
        <v>0</v>
      </c>
      <c r="AV204" s="90"/>
      <c r="AW204" s="101"/>
      <c r="AX204" s="487"/>
      <c r="AY204" s="497"/>
      <c r="AZ204" s="496">
        <v>0</v>
      </c>
      <c r="BA204" s="90"/>
      <c r="BB204" s="101"/>
      <c r="BC204" s="487"/>
      <c r="BD204" s="497"/>
      <c r="BE204" s="496">
        <v>0</v>
      </c>
      <c r="BF204" s="90"/>
      <c r="BG204" s="101"/>
      <c r="BH204" s="487"/>
      <c r="BI204" s="497"/>
      <c r="BJ204" s="496">
        <v>0</v>
      </c>
      <c r="BK204" s="90"/>
      <c r="BL204" s="101"/>
      <c r="BM204" s="487"/>
      <c r="BN204" s="497"/>
      <c r="BO204" s="496">
        <v>0</v>
      </c>
      <c r="BP204" s="90"/>
      <c r="BQ204" s="101"/>
      <c r="BR204" s="487"/>
      <c r="BS204" s="497"/>
      <c r="BT204" s="496">
        <f t="shared" si="0"/>
        <v>0</v>
      </c>
      <c r="BU204" s="90"/>
      <c r="BV204" s="101"/>
      <c r="BW204" s="398"/>
      <c r="BZ204" s="411"/>
      <c r="CA204" s="411"/>
    </row>
    <row r="205" spans="1:79" ht="12.75" x14ac:dyDescent="0.2">
      <c r="A205" s="388"/>
      <c r="B205" s="388"/>
      <c r="D205" s="398"/>
      <c r="F205" s="388"/>
      <c r="G205" s="101"/>
      <c r="H205" s="101"/>
      <c r="I205" s="101"/>
      <c r="J205" s="487"/>
      <c r="K205" s="101"/>
      <c r="L205" s="101"/>
      <c r="M205" s="101"/>
      <c r="N205" s="101"/>
      <c r="O205" s="487"/>
      <c r="P205" s="101"/>
      <c r="Q205" s="101"/>
      <c r="R205" s="101"/>
      <c r="S205" s="101"/>
      <c r="T205" s="487"/>
      <c r="U205" s="101"/>
      <c r="V205" s="101"/>
      <c r="W205" s="101"/>
      <c r="X205" s="101"/>
      <c r="Y205" s="487"/>
      <c r="Z205" s="101"/>
      <c r="AA205" s="101"/>
      <c r="AB205" s="101"/>
      <c r="AC205" s="101"/>
      <c r="AD205" s="487"/>
      <c r="AE205" s="101"/>
      <c r="AF205" s="101"/>
      <c r="AG205" s="101"/>
      <c r="AH205" s="101"/>
      <c r="AI205" s="487"/>
      <c r="AJ205" s="101"/>
      <c r="AK205" s="101"/>
      <c r="AL205" s="101"/>
      <c r="AM205" s="101"/>
      <c r="AN205" s="487"/>
      <c r="AO205" s="101"/>
      <c r="AP205" s="101"/>
      <c r="AQ205" s="101"/>
      <c r="AR205" s="101"/>
      <c r="AS205" s="487"/>
      <c r="AT205" s="101"/>
      <c r="AU205" s="101"/>
      <c r="AV205" s="101"/>
      <c r="AW205" s="101"/>
      <c r="AX205" s="487"/>
      <c r="AY205" s="101"/>
      <c r="AZ205" s="101"/>
      <c r="BA205" s="101"/>
      <c r="BB205" s="101"/>
      <c r="BC205" s="487"/>
      <c r="BD205" s="101"/>
      <c r="BE205" s="101"/>
      <c r="BF205" s="101"/>
      <c r="BG205" s="101"/>
      <c r="BH205" s="487"/>
      <c r="BI205" s="101"/>
      <c r="BJ205" s="101"/>
      <c r="BK205" s="101"/>
      <c r="BL205" s="101"/>
      <c r="BM205" s="487"/>
      <c r="BN205" s="101"/>
      <c r="BO205" s="101"/>
      <c r="BP205" s="101"/>
      <c r="BQ205" s="101"/>
      <c r="BR205" s="487"/>
      <c r="BS205" s="101"/>
      <c r="BT205" s="101"/>
      <c r="BU205" s="101"/>
      <c r="BV205" s="101"/>
      <c r="BW205" s="398"/>
      <c r="BZ205" s="411"/>
      <c r="CA205" s="411"/>
    </row>
    <row r="206" spans="1:79" ht="12.75" x14ac:dyDescent="0.2">
      <c r="A206" s="388"/>
      <c r="B206" s="388"/>
      <c r="D206" s="398" t="s">
        <v>421</v>
      </c>
      <c r="F206" s="388"/>
      <c r="G206" s="101">
        <f>SUM(G207:G213)</f>
        <v>0</v>
      </c>
      <c r="H206" s="101"/>
      <c r="I206" s="101"/>
      <c r="J206" s="487"/>
      <c r="K206" s="388"/>
      <c r="L206" s="101">
        <f>SUM(L207:L213)</f>
        <v>0</v>
      </c>
      <c r="M206" s="101"/>
      <c r="N206" s="101"/>
      <c r="O206" s="487"/>
      <c r="P206" s="388"/>
      <c r="Q206" s="101">
        <f>SUM(Q207:Q213)</f>
        <v>0</v>
      </c>
      <c r="R206" s="101"/>
      <c r="S206" s="101"/>
      <c r="T206" s="487"/>
      <c r="U206" s="388"/>
      <c r="V206" s="101">
        <f>SUM(V207:V213)</f>
        <v>0</v>
      </c>
      <c r="W206" s="101"/>
      <c r="X206" s="101"/>
      <c r="Y206" s="487"/>
      <c r="Z206" s="388"/>
      <c r="AA206" s="101">
        <f>SUM(AA207:AA213)</f>
        <v>0</v>
      </c>
      <c r="AB206" s="101"/>
      <c r="AC206" s="101"/>
      <c r="AD206" s="487"/>
      <c r="AE206" s="388"/>
      <c r="AF206" s="101">
        <f>SUM(AF207:AF213)</f>
        <v>0</v>
      </c>
      <c r="AG206" s="101"/>
      <c r="AH206" s="101"/>
      <c r="AI206" s="487"/>
      <c r="AJ206" s="388"/>
      <c r="AK206" s="101">
        <f>SUM(AK207:AK213)</f>
        <v>0</v>
      </c>
      <c r="AL206" s="101"/>
      <c r="AM206" s="101"/>
      <c r="AN206" s="487"/>
      <c r="AO206" s="388"/>
      <c r="AP206" s="101">
        <f>SUM(AP207:AP213)</f>
        <v>0</v>
      </c>
      <c r="AQ206" s="101"/>
      <c r="AR206" s="101"/>
      <c r="AS206" s="487"/>
      <c r="AT206" s="388"/>
      <c r="AU206" s="101">
        <f>SUM(AU207:AU213)</f>
        <v>0</v>
      </c>
      <c r="AV206" s="101"/>
      <c r="AW206" s="101"/>
      <c r="AX206" s="487"/>
      <c r="AY206" s="388"/>
      <c r="AZ206" s="101">
        <f>SUM(AZ207:AZ213)</f>
        <v>0</v>
      </c>
      <c r="BA206" s="101"/>
      <c r="BB206" s="101"/>
      <c r="BC206" s="487"/>
      <c r="BD206" s="388"/>
      <c r="BE206" s="101">
        <f>SUM(BE207:BE213)</f>
        <v>0</v>
      </c>
      <c r="BF206" s="101"/>
      <c r="BG206" s="101"/>
      <c r="BH206" s="487"/>
      <c r="BI206" s="388"/>
      <c r="BJ206" s="101">
        <f>SUM(BJ207:BJ213)</f>
        <v>0</v>
      </c>
      <c r="BK206" s="101"/>
      <c r="BL206" s="101"/>
      <c r="BM206" s="487"/>
      <c r="BN206" s="388"/>
      <c r="BO206" s="101">
        <f>SUM(BO207:BO213)</f>
        <v>0</v>
      </c>
      <c r="BP206" s="101"/>
      <c r="BQ206" s="101"/>
      <c r="BR206" s="487"/>
      <c r="BS206" s="388"/>
      <c r="BT206" s="101">
        <f>SUM(BT207:BT213)</f>
        <v>0</v>
      </c>
      <c r="BU206" s="101"/>
      <c r="BV206" s="101"/>
      <c r="BW206" s="398"/>
      <c r="BZ206" s="411"/>
      <c r="CA206" s="411"/>
    </row>
    <row r="207" spans="1:79" ht="12.75" x14ac:dyDescent="0.2">
      <c r="A207" s="388"/>
      <c r="B207" s="388"/>
      <c r="D207" s="398" t="s">
        <v>422</v>
      </c>
      <c r="F207" s="510"/>
      <c r="G207" s="485">
        <v>0</v>
      </c>
      <c r="H207" s="486"/>
      <c r="I207" s="101"/>
      <c r="J207" s="487"/>
      <c r="K207" s="510"/>
      <c r="L207" s="485">
        <v>0</v>
      </c>
      <c r="M207" s="486"/>
      <c r="N207" s="101"/>
      <c r="O207" s="487"/>
      <c r="P207" s="510"/>
      <c r="Q207" s="485">
        <v>0</v>
      </c>
      <c r="R207" s="486"/>
      <c r="S207" s="101"/>
      <c r="T207" s="487"/>
      <c r="U207" s="510"/>
      <c r="V207" s="485">
        <v>0</v>
      </c>
      <c r="W207" s="486"/>
      <c r="X207" s="101"/>
      <c r="Y207" s="487"/>
      <c r="Z207" s="510"/>
      <c r="AA207" s="485">
        <v>0</v>
      </c>
      <c r="AB207" s="486"/>
      <c r="AC207" s="101"/>
      <c r="AD207" s="487"/>
      <c r="AE207" s="412"/>
      <c r="AF207" s="511">
        <v>0</v>
      </c>
      <c r="AG207" s="486"/>
      <c r="AH207" s="101"/>
      <c r="AI207" s="487"/>
      <c r="AJ207" s="510"/>
      <c r="AK207" s="485">
        <v>0</v>
      </c>
      <c r="AL207" s="486"/>
      <c r="AM207" s="101"/>
      <c r="AN207" s="487"/>
      <c r="AO207" s="510"/>
      <c r="AP207" s="485">
        <v>0</v>
      </c>
      <c r="AQ207" s="486"/>
      <c r="AR207" s="101"/>
      <c r="AS207" s="487"/>
      <c r="AT207" s="510"/>
      <c r="AU207" s="485">
        <v>0</v>
      </c>
      <c r="AV207" s="486"/>
      <c r="AW207" s="101"/>
      <c r="AX207" s="487"/>
      <c r="AY207" s="510"/>
      <c r="AZ207" s="485">
        <v>0</v>
      </c>
      <c r="BA207" s="486"/>
      <c r="BB207" s="101"/>
      <c r="BC207" s="487"/>
      <c r="BD207" s="510"/>
      <c r="BE207" s="485">
        <v>0</v>
      </c>
      <c r="BF207" s="486"/>
      <c r="BG207" s="101"/>
      <c r="BH207" s="487"/>
      <c r="BI207" s="510"/>
      <c r="BJ207" s="485">
        <v>0</v>
      </c>
      <c r="BK207" s="486"/>
      <c r="BL207" s="101"/>
      <c r="BM207" s="487"/>
      <c r="BN207" s="510"/>
      <c r="BO207" s="485">
        <v>0</v>
      </c>
      <c r="BP207" s="486"/>
      <c r="BQ207" s="101"/>
      <c r="BR207" s="487"/>
      <c r="BS207" s="510"/>
      <c r="BT207" s="485">
        <f>SUM(L207:BO207)</f>
        <v>0</v>
      </c>
      <c r="BU207" s="486"/>
      <c r="BV207" s="101"/>
      <c r="BW207" s="398"/>
      <c r="BZ207" s="411"/>
      <c r="CA207" s="411"/>
    </row>
    <row r="208" spans="1:79" ht="12.75" x14ac:dyDescent="0.2">
      <c r="A208" s="388"/>
      <c r="B208" s="388"/>
      <c r="D208" s="398" t="s">
        <v>423</v>
      </c>
      <c r="F208" s="480"/>
      <c r="G208" s="101">
        <v>0</v>
      </c>
      <c r="H208" s="49"/>
      <c r="I208" s="101"/>
      <c r="J208" s="487"/>
      <c r="K208" s="480"/>
      <c r="L208" s="101">
        <v>0</v>
      </c>
      <c r="M208" s="49"/>
      <c r="N208" s="101"/>
      <c r="O208" s="487"/>
      <c r="P208" s="480"/>
      <c r="Q208" s="101">
        <v>0</v>
      </c>
      <c r="R208" s="49"/>
      <c r="S208" s="101"/>
      <c r="T208" s="487"/>
      <c r="U208" s="480"/>
      <c r="V208" s="101">
        <v>0</v>
      </c>
      <c r="W208" s="49"/>
      <c r="X208" s="101"/>
      <c r="Y208" s="487"/>
      <c r="Z208" s="480"/>
      <c r="AA208" s="101">
        <v>0</v>
      </c>
      <c r="AB208" s="49"/>
      <c r="AC208" s="101"/>
      <c r="AD208" s="487"/>
      <c r="AE208" s="404"/>
      <c r="AF208" s="196">
        <v>0</v>
      </c>
      <c r="AG208" s="49"/>
      <c r="AH208" s="101"/>
      <c r="AI208" s="487"/>
      <c r="AJ208" s="480"/>
      <c r="AK208" s="101">
        <v>0</v>
      </c>
      <c r="AL208" s="49"/>
      <c r="AM208" s="101"/>
      <c r="AN208" s="487"/>
      <c r="AO208" s="480"/>
      <c r="AP208" s="101">
        <v>0</v>
      </c>
      <c r="AQ208" s="49"/>
      <c r="AR208" s="101"/>
      <c r="AS208" s="487"/>
      <c r="AT208" s="480"/>
      <c r="AU208" s="101">
        <v>0</v>
      </c>
      <c r="AV208" s="49"/>
      <c r="AW208" s="101"/>
      <c r="AX208" s="487"/>
      <c r="AY208" s="480"/>
      <c r="AZ208" s="101">
        <v>0</v>
      </c>
      <c r="BA208" s="49"/>
      <c r="BB208" s="101"/>
      <c r="BC208" s="487"/>
      <c r="BD208" s="480"/>
      <c r="BE208" s="101">
        <v>0</v>
      </c>
      <c r="BF208" s="49"/>
      <c r="BG208" s="101"/>
      <c r="BH208" s="487"/>
      <c r="BI208" s="480"/>
      <c r="BJ208" s="101">
        <v>0</v>
      </c>
      <c r="BK208" s="49"/>
      <c r="BL208" s="101"/>
      <c r="BM208" s="487"/>
      <c r="BN208" s="480"/>
      <c r="BO208" s="101">
        <v>0</v>
      </c>
      <c r="BP208" s="49"/>
      <c r="BQ208" s="101"/>
      <c r="BR208" s="487"/>
      <c r="BS208" s="480"/>
      <c r="BT208" s="101">
        <f t="shared" ref="BT208:BT213" si="1">SUM(L208:BO208)</f>
        <v>0</v>
      </c>
      <c r="BU208" s="49"/>
      <c r="BV208" s="101"/>
      <c r="BW208" s="398"/>
      <c r="BZ208" s="411"/>
      <c r="CA208" s="411"/>
    </row>
    <row r="209" spans="1:79" ht="12.75" x14ac:dyDescent="0.2">
      <c r="A209" s="388"/>
      <c r="B209" s="388"/>
      <c r="D209" s="398" t="s">
        <v>424</v>
      </c>
      <c r="F209" s="480"/>
      <c r="G209" s="101">
        <v>0</v>
      </c>
      <c r="H209" s="49"/>
      <c r="I209" s="101"/>
      <c r="J209" s="487"/>
      <c r="K209" s="480"/>
      <c r="L209" s="101">
        <v>0</v>
      </c>
      <c r="M209" s="49"/>
      <c r="N209" s="101"/>
      <c r="O209" s="487"/>
      <c r="P209" s="480"/>
      <c r="Q209" s="101">
        <v>0</v>
      </c>
      <c r="R209" s="49"/>
      <c r="S209" s="101"/>
      <c r="T209" s="487"/>
      <c r="U209" s="480"/>
      <c r="V209" s="101">
        <v>0</v>
      </c>
      <c r="W209" s="49"/>
      <c r="X209" s="101"/>
      <c r="Y209" s="487"/>
      <c r="Z209" s="480"/>
      <c r="AA209" s="101">
        <v>0</v>
      </c>
      <c r="AB209" s="49"/>
      <c r="AC209" s="101"/>
      <c r="AD209" s="487"/>
      <c r="AE209" s="404"/>
      <c r="AF209" s="196">
        <v>0</v>
      </c>
      <c r="AG209" s="49"/>
      <c r="AH209" s="101"/>
      <c r="AI209" s="487"/>
      <c r="AJ209" s="480"/>
      <c r="AK209" s="101">
        <v>0</v>
      </c>
      <c r="AL209" s="49"/>
      <c r="AM209" s="101"/>
      <c r="AN209" s="487"/>
      <c r="AO209" s="480"/>
      <c r="AP209" s="101">
        <v>0</v>
      </c>
      <c r="AQ209" s="49"/>
      <c r="AR209" s="101"/>
      <c r="AS209" s="487"/>
      <c r="AT209" s="480"/>
      <c r="AU209" s="101">
        <v>0</v>
      </c>
      <c r="AV209" s="49"/>
      <c r="AW209" s="101"/>
      <c r="AX209" s="487"/>
      <c r="AY209" s="480"/>
      <c r="AZ209" s="101">
        <v>0</v>
      </c>
      <c r="BA209" s="49"/>
      <c r="BB209" s="101"/>
      <c r="BC209" s="487"/>
      <c r="BD209" s="480"/>
      <c r="BE209" s="101">
        <v>0</v>
      </c>
      <c r="BF209" s="49"/>
      <c r="BG209" s="101"/>
      <c r="BH209" s="487"/>
      <c r="BI209" s="480"/>
      <c r="BJ209" s="101">
        <v>0</v>
      </c>
      <c r="BK209" s="49"/>
      <c r="BL209" s="101"/>
      <c r="BM209" s="487"/>
      <c r="BN209" s="480"/>
      <c r="BO209" s="101">
        <v>0</v>
      </c>
      <c r="BP209" s="49"/>
      <c r="BQ209" s="101"/>
      <c r="BR209" s="487"/>
      <c r="BS209" s="480"/>
      <c r="BT209" s="101">
        <f>SUM(L209:BO209)</f>
        <v>0</v>
      </c>
      <c r="BU209" s="49"/>
      <c r="BV209" s="101"/>
      <c r="BW209" s="398"/>
      <c r="BZ209" s="411"/>
      <c r="CA209" s="411"/>
    </row>
    <row r="210" spans="1:79" ht="12.75" x14ac:dyDescent="0.2">
      <c r="A210" s="388"/>
      <c r="B210" s="388"/>
      <c r="D210" s="398" t="s">
        <v>425</v>
      </c>
      <c r="F210" s="512"/>
      <c r="G210" s="496">
        <v>0</v>
      </c>
      <c r="H210" s="90"/>
      <c r="I210" s="101"/>
      <c r="J210" s="487"/>
      <c r="K210" s="512"/>
      <c r="L210" s="496">
        <v>0</v>
      </c>
      <c r="M210" s="90"/>
      <c r="N210" s="101"/>
      <c r="O210" s="487"/>
      <c r="P210" s="512"/>
      <c r="Q210" s="496">
        <v>0</v>
      </c>
      <c r="R210" s="90"/>
      <c r="S210" s="101"/>
      <c r="T210" s="487"/>
      <c r="U210" s="512"/>
      <c r="V210" s="496">
        <v>0</v>
      </c>
      <c r="W210" s="90"/>
      <c r="X210" s="101"/>
      <c r="Y210" s="487"/>
      <c r="Z210" s="512"/>
      <c r="AA210" s="496">
        <v>0</v>
      </c>
      <c r="AB210" s="90"/>
      <c r="AC210" s="101"/>
      <c r="AD210" s="487"/>
      <c r="AE210" s="427"/>
      <c r="AF210" s="513">
        <v>0</v>
      </c>
      <c r="AG210" s="90"/>
      <c r="AH210" s="101"/>
      <c r="AI210" s="487"/>
      <c r="AJ210" s="512"/>
      <c r="AK210" s="496">
        <v>0</v>
      </c>
      <c r="AL210" s="90"/>
      <c r="AM210" s="101"/>
      <c r="AN210" s="487"/>
      <c r="AO210" s="512"/>
      <c r="AP210" s="496">
        <v>0</v>
      </c>
      <c r="AQ210" s="90"/>
      <c r="AR210" s="101"/>
      <c r="AS210" s="487"/>
      <c r="AT210" s="512"/>
      <c r="AU210" s="496">
        <v>0</v>
      </c>
      <c r="AV210" s="90"/>
      <c r="AW210" s="101"/>
      <c r="AX210" s="487"/>
      <c r="AY210" s="512"/>
      <c r="AZ210" s="496">
        <v>0</v>
      </c>
      <c r="BA210" s="90"/>
      <c r="BB210" s="101"/>
      <c r="BC210" s="487"/>
      <c r="BD210" s="512"/>
      <c r="BE210" s="496">
        <v>0</v>
      </c>
      <c r="BF210" s="90"/>
      <c r="BG210" s="101"/>
      <c r="BH210" s="487"/>
      <c r="BI210" s="512"/>
      <c r="BJ210" s="496">
        <v>0</v>
      </c>
      <c r="BK210" s="90"/>
      <c r="BL210" s="101"/>
      <c r="BM210" s="487"/>
      <c r="BN210" s="512"/>
      <c r="BO210" s="496">
        <v>0</v>
      </c>
      <c r="BP210" s="90"/>
      <c r="BQ210" s="101"/>
      <c r="BR210" s="487"/>
      <c r="BS210" s="512"/>
      <c r="BT210" s="496">
        <f t="shared" si="1"/>
        <v>0</v>
      </c>
      <c r="BU210" s="90"/>
      <c r="BV210" s="101"/>
      <c r="BW210" s="398"/>
      <c r="BZ210" s="411"/>
      <c r="CA210" s="411"/>
    </row>
    <row r="211" spans="1:79" ht="12.75" hidden="1" customHeight="1" x14ac:dyDescent="0.2">
      <c r="A211" s="388"/>
      <c r="B211" s="388"/>
      <c r="D211" s="398" t="s">
        <v>426</v>
      </c>
      <c r="F211" s="404"/>
      <c r="G211" s="101">
        <v>0</v>
      </c>
      <c r="H211" s="49"/>
      <c r="I211" s="101"/>
      <c r="J211" s="487"/>
      <c r="K211" s="404"/>
      <c r="L211" s="101"/>
      <c r="M211" s="49"/>
      <c r="N211" s="101"/>
      <c r="O211" s="487"/>
      <c r="P211" s="404"/>
      <c r="Q211" s="101"/>
      <c r="R211" s="49"/>
      <c r="S211" s="101"/>
      <c r="T211" s="487"/>
      <c r="U211" s="404"/>
      <c r="V211" s="101"/>
      <c r="W211" s="49"/>
      <c r="X211" s="101"/>
      <c r="Y211" s="487"/>
      <c r="Z211" s="404"/>
      <c r="AA211" s="101"/>
      <c r="AB211" s="49"/>
      <c r="AC211" s="101"/>
      <c r="AD211" s="487"/>
      <c r="AE211" s="404"/>
      <c r="AF211" s="101"/>
      <c r="AG211" s="49"/>
      <c r="AH211" s="101"/>
      <c r="AI211" s="487"/>
      <c r="AJ211" s="404"/>
      <c r="AK211" s="101"/>
      <c r="AL211" s="49"/>
      <c r="AM211" s="101"/>
      <c r="AN211" s="487"/>
      <c r="AO211" s="404"/>
      <c r="AP211" s="101"/>
      <c r="AQ211" s="49"/>
      <c r="AR211" s="101"/>
      <c r="AS211" s="487"/>
      <c r="AT211" s="404"/>
      <c r="AU211" s="101"/>
      <c r="AV211" s="49"/>
      <c r="AW211" s="101"/>
      <c r="AX211" s="487"/>
      <c r="AY211" s="404"/>
      <c r="AZ211" s="101"/>
      <c r="BA211" s="49"/>
      <c r="BB211" s="101"/>
      <c r="BC211" s="487"/>
      <c r="BD211" s="404"/>
      <c r="BE211" s="101"/>
      <c r="BF211" s="49"/>
      <c r="BG211" s="101"/>
      <c r="BH211" s="487"/>
      <c r="BI211" s="404"/>
      <c r="BJ211" s="101">
        <v>0</v>
      </c>
      <c r="BK211" s="49"/>
      <c r="BL211" s="101"/>
      <c r="BM211" s="487"/>
      <c r="BN211" s="404"/>
      <c r="BO211" s="101">
        <v>0</v>
      </c>
      <c r="BP211" s="49"/>
      <c r="BQ211" s="101"/>
      <c r="BR211" s="487"/>
      <c r="BS211" s="404"/>
      <c r="BT211" s="101">
        <f t="shared" si="1"/>
        <v>0</v>
      </c>
      <c r="BU211" s="49"/>
      <c r="BV211" s="101"/>
      <c r="BW211" s="398"/>
      <c r="BZ211" s="411"/>
      <c r="CA211" s="411"/>
    </row>
    <row r="212" spans="1:79" ht="12.75" hidden="1" customHeight="1" x14ac:dyDescent="0.2">
      <c r="A212" s="388"/>
      <c r="B212" s="388"/>
      <c r="D212" s="398" t="s">
        <v>427</v>
      </c>
      <c r="F212" s="404"/>
      <c r="G212" s="101">
        <v>0</v>
      </c>
      <c r="H212" s="49"/>
      <c r="I212" s="101"/>
      <c r="J212" s="487"/>
      <c r="K212" s="404"/>
      <c r="L212" s="101"/>
      <c r="M212" s="49"/>
      <c r="N212" s="101"/>
      <c r="O212" s="487"/>
      <c r="P212" s="404"/>
      <c r="Q212" s="101"/>
      <c r="R212" s="49"/>
      <c r="S212" s="101"/>
      <c r="T212" s="487"/>
      <c r="U212" s="404"/>
      <c r="V212" s="101"/>
      <c r="W212" s="49"/>
      <c r="X212" s="101"/>
      <c r="Y212" s="487"/>
      <c r="Z212" s="404"/>
      <c r="AA212" s="101"/>
      <c r="AB212" s="49"/>
      <c r="AC212" s="101"/>
      <c r="AD212" s="487"/>
      <c r="AE212" s="404"/>
      <c r="AF212" s="101"/>
      <c r="AG212" s="49"/>
      <c r="AH212" s="101"/>
      <c r="AI212" s="487"/>
      <c r="AJ212" s="404"/>
      <c r="AK212" s="101"/>
      <c r="AL212" s="49"/>
      <c r="AM212" s="101"/>
      <c r="AN212" s="487"/>
      <c r="AO212" s="404"/>
      <c r="AP212" s="101"/>
      <c r="AQ212" s="49"/>
      <c r="AR212" s="101"/>
      <c r="AS212" s="487"/>
      <c r="AT212" s="404"/>
      <c r="AU212" s="101"/>
      <c r="AV212" s="49"/>
      <c r="AW212" s="101"/>
      <c r="AX212" s="487"/>
      <c r="AY212" s="404"/>
      <c r="AZ212" s="101"/>
      <c r="BA212" s="49"/>
      <c r="BB212" s="101"/>
      <c r="BC212" s="487"/>
      <c r="BD212" s="404"/>
      <c r="BE212" s="101"/>
      <c r="BF212" s="49"/>
      <c r="BG212" s="101"/>
      <c r="BH212" s="487"/>
      <c r="BI212" s="404"/>
      <c r="BJ212" s="101">
        <v>0</v>
      </c>
      <c r="BK212" s="49"/>
      <c r="BL212" s="101"/>
      <c r="BM212" s="487"/>
      <c r="BN212" s="404"/>
      <c r="BO212" s="101">
        <v>0</v>
      </c>
      <c r="BP212" s="49"/>
      <c r="BQ212" s="101"/>
      <c r="BR212" s="487"/>
      <c r="BS212" s="404"/>
      <c r="BT212" s="101">
        <f t="shared" si="1"/>
        <v>0</v>
      </c>
      <c r="BU212" s="49"/>
      <c r="BV212" s="101"/>
      <c r="BW212" s="398"/>
      <c r="BZ212" s="411"/>
      <c r="CA212" s="411"/>
    </row>
    <row r="213" spans="1:79" ht="12.75" hidden="1" customHeight="1" x14ac:dyDescent="0.2">
      <c r="A213" s="388"/>
      <c r="B213" s="388"/>
      <c r="D213" s="398" t="s">
        <v>428</v>
      </c>
      <c r="F213" s="427"/>
      <c r="G213" s="496">
        <v>0</v>
      </c>
      <c r="H213" s="90"/>
      <c r="I213" s="101"/>
      <c r="J213" s="487"/>
      <c r="K213" s="427"/>
      <c r="L213" s="496">
        <v>0</v>
      </c>
      <c r="M213" s="90"/>
      <c r="N213" s="101"/>
      <c r="O213" s="487"/>
      <c r="P213" s="427"/>
      <c r="Q213" s="496">
        <v>0</v>
      </c>
      <c r="R213" s="90"/>
      <c r="S213" s="101"/>
      <c r="T213" s="487"/>
      <c r="U213" s="427"/>
      <c r="V213" s="496">
        <v>0</v>
      </c>
      <c r="W213" s="90"/>
      <c r="X213" s="101"/>
      <c r="Y213" s="487"/>
      <c r="Z213" s="427"/>
      <c r="AA213" s="496">
        <v>0</v>
      </c>
      <c r="AB213" s="90"/>
      <c r="AC213" s="101"/>
      <c r="AD213" s="487"/>
      <c r="AE213" s="427"/>
      <c r="AF213" s="496">
        <v>0</v>
      </c>
      <c r="AG213" s="90"/>
      <c r="AH213" s="101"/>
      <c r="AI213" s="487"/>
      <c r="AJ213" s="427"/>
      <c r="AK213" s="496">
        <v>0</v>
      </c>
      <c r="AL213" s="90"/>
      <c r="AM213" s="101"/>
      <c r="AN213" s="487"/>
      <c r="AO213" s="427"/>
      <c r="AP213" s="496">
        <v>0</v>
      </c>
      <c r="AQ213" s="90"/>
      <c r="AR213" s="101"/>
      <c r="AS213" s="487"/>
      <c r="AT213" s="427"/>
      <c r="AU213" s="496">
        <v>0</v>
      </c>
      <c r="AV213" s="90"/>
      <c r="AW213" s="101"/>
      <c r="AX213" s="487"/>
      <c r="AY213" s="427"/>
      <c r="AZ213" s="496">
        <v>0</v>
      </c>
      <c r="BA213" s="90"/>
      <c r="BB213" s="101"/>
      <c r="BC213" s="487"/>
      <c r="BD213" s="427"/>
      <c r="BE213" s="496">
        <v>0</v>
      </c>
      <c r="BF213" s="90"/>
      <c r="BG213" s="101"/>
      <c r="BH213" s="487"/>
      <c r="BI213" s="427"/>
      <c r="BJ213" s="496">
        <v>0</v>
      </c>
      <c r="BK213" s="90"/>
      <c r="BL213" s="101"/>
      <c r="BM213" s="487"/>
      <c r="BN213" s="427"/>
      <c r="BO213" s="496">
        <v>0</v>
      </c>
      <c r="BP213" s="90"/>
      <c r="BQ213" s="101"/>
      <c r="BR213" s="487"/>
      <c r="BS213" s="427"/>
      <c r="BT213" s="496">
        <f t="shared" si="1"/>
        <v>0</v>
      </c>
      <c r="BU213" s="90"/>
      <c r="BV213" s="101"/>
      <c r="BW213" s="398"/>
      <c r="BZ213" s="411"/>
      <c r="CA213" s="411"/>
    </row>
    <row r="214" spans="1:79" ht="12.75" x14ac:dyDescent="0.2">
      <c r="A214" s="388"/>
      <c r="B214" s="388"/>
      <c r="D214" s="398"/>
      <c r="E214" s="509"/>
      <c r="F214" s="239"/>
      <c r="G214" s="101"/>
      <c r="H214" s="101"/>
      <c r="I214" s="101"/>
      <c r="J214" s="487"/>
      <c r="K214" s="239"/>
      <c r="L214" s="101"/>
      <c r="M214" s="101"/>
      <c r="N214" s="101"/>
      <c r="O214" s="487"/>
      <c r="P214" s="239"/>
      <c r="Q214" s="101"/>
      <c r="R214" s="101"/>
      <c r="S214" s="101"/>
      <c r="T214" s="487"/>
      <c r="U214" s="239"/>
      <c r="V214" s="101"/>
      <c r="W214" s="101"/>
      <c r="X214" s="101"/>
      <c r="Y214" s="487"/>
      <c r="Z214" s="239"/>
      <c r="AA214" s="101"/>
      <c r="AB214" s="101"/>
      <c r="AC214" s="101"/>
      <c r="AD214" s="487"/>
      <c r="AE214" s="239"/>
      <c r="AF214" s="101"/>
      <c r="AG214" s="101"/>
      <c r="AH214" s="101"/>
      <c r="AI214" s="487"/>
      <c r="AJ214" s="239"/>
      <c r="AK214" s="101"/>
      <c r="AL214" s="101"/>
      <c r="AM214" s="101"/>
      <c r="AN214" s="487"/>
      <c r="AO214" s="239"/>
      <c r="AP214" s="101"/>
      <c r="AQ214" s="101"/>
      <c r="AR214" s="101"/>
      <c r="AS214" s="487"/>
      <c r="AT214" s="239"/>
      <c r="AU214" s="101"/>
      <c r="AV214" s="101"/>
      <c r="AW214" s="101"/>
      <c r="AX214" s="487"/>
      <c r="AY214" s="239"/>
      <c r="AZ214" s="101"/>
      <c r="BA214" s="101"/>
      <c r="BB214" s="101"/>
      <c r="BC214" s="487"/>
      <c r="BD214" s="239"/>
      <c r="BE214" s="101"/>
      <c r="BF214" s="101"/>
      <c r="BG214" s="101"/>
      <c r="BH214" s="487"/>
      <c r="BI214" s="239"/>
      <c r="BJ214" s="101"/>
      <c r="BK214" s="101"/>
      <c r="BL214" s="101"/>
      <c r="BM214" s="487"/>
      <c r="BN214" s="239"/>
      <c r="BO214" s="101"/>
      <c r="BP214" s="101"/>
      <c r="BQ214" s="101"/>
      <c r="BR214" s="487"/>
      <c r="BS214" s="239"/>
      <c r="BT214" s="101"/>
      <c r="BU214" s="101"/>
      <c r="BV214" s="101"/>
      <c r="BW214" s="398"/>
      <c r="BZ214" s="411"/>
      <c r="CA214" s="411"/>
    </row>
    <row r="215" spans="1:79" ht="12.75" x14ac:dyDescent="0.2">
      <c r="A215" s="388"/>
      <c r="B215" s="388"/>
      <c r="D215" s="233" t="s">
        <v>365</v>
      </c>
      <c r="E215" s="509"/>
      <c r="F215" s="239"/>
      <c r="G215" s="482">
        <f>SUM(G216:G219)</f>
        <v>5243353</v>
      </c>
      <c r="H215" s="101"/>
      <c r="I215" s="101"/>
      <c r="J215" s="487"/>
      <c r="K215" s="239"/>
      <c r="L215" s="482">
        <f>SUM(L216:L219)</f>
        <v>0</v>
      </c>
      <c r="M215" s="101"/>
      <c r="N215" s="101"/>
      <c r="O215" s="487"/>
      <c r="P215" s="239"/>
      <c r="Q215" s="482">
        <f>SUM(Q216:Q219)</f>
        <v>0</v>
      </c>
      <c r="R215" s="101"/>
      <c r="S215" s="101"/>
      <c r="T215" s="487"/>
      <c r="U215" s="239"/>
      <c r="V215" s="482">
        <f>SUM(V216:V219)</f>
        <v>0</v>
      </c>
      <c r="W215" s="101"/>
      <c r="X215" s="101"/>
      <c r="Y215" s="487"/>
      <c r="Z215" s="239"/>
      <c r="AA215" s="482">
        <f>SUM(AA216:AA219)</f>
        <v>0</v>
      </c>
      <c r="AB215" s="101"/>
      <c r="AC215" s="101"/>
      <c r="AD215" s="487"/>
      <c r="AE215" s="239"/>
      <c r="AF215" s="482">
        <f>SUM(AF216:AF219)</f>
        <v>0</v>
      </c>
      <c r="AG215" s="101"/>
      <c r="AH215" s="101"/>
      <c r="AI215" s="487"/>
      <c r="AJ215" s="239"/>
      <c r="AK215" s="482">
        <f>SUM(AK216:AK219)</f>
        <v>0</v>
      </c>
      <c r="AL215" s="101"/>
      <c r="AM215" s="49"/>
      <c r="AN215" s="487"/>
      <c r="AO215" s="239"/>
      <c r="AP215" s="482">
        <f>SUM(AP216:AP219)</f>
        <v>0</v>
      </c>
      <c r="AQ215" s="101"/>
      <c r="AR215" s="101"/>
      <c r="AS215" s="487"/>
      <c r="AT215" s="239"/>
      <c r="AU215" s="482">
        <f>SUM(AU216:AU219)</f>
        <v>0</v>
      </c>
      <c r="AV215" s="101"/>
      <c r="AW215" s="101"/>
      <c r="AX215" s="487"/>
      <c r="AY215" s="239"/>
      <c r="AZ215" s="482">
        <f>SUM(AZ216:AZ219)</f>
        <v>0</v>
      </c>
      <c r="BA215" s="101"/>
      <c r="BB215" s="101"/>
      <c r="BC215" s="487"/>
      <c r="BD215" s="239"/>
      <c r="BE215" s="482">
        <f>SUM(BE216:BE219)</f>
        <v>0</v>
      </c>
      <c r="BF215" s="101"/>
      <c r="BG215" s="101"/>
      <c r="BH215" s="487"/>
      <c r="BI215" s="239"/>
      <c r="BJ215" s="482">
        <f>SUM(BJ216:BJ219)</f>
        <v>7577210</v>
      </c>
      <c r="BK215" s="101"/>
      <c r="BL215" s="101"/>
      <c r="BM215" s="487"/>
      <c r="BN215" s="239"/>
      <c r="BO215" s="482">
        <f>SUM(BO216:BO219)</f>
        <v>0</v>
      </c>
      <c r="BP215" s="101"/>
      <c r="BQ215" s="101"/>
      <c r="BR215" s="487"/>
      <c r="BS215" s="239"/>
      <c r="BT215" s="482">
        <f>SUM(BT216:BT219)</f>
        <v>7577210</v>
      </c>
      <c r="BU215" s="101"/>
      <c r="BV215" s="101"/>
      <c r="BW215" s="398"/>
      <c r="BZ215" s="411"/>
      <c r="CA215" s="411"/>
    </row>
    <row r="216" spans="1:79" ht="12.75" x14ac:dyDescent="0.2">
      <c r="A216" s="388"/>
      <c r="B216" s="388"/>
      <c r="D216" s="398" t="s">
        <v>373</v>
      </c>
      <c r="E216" s="509"/>
      <c r="F216" s="510"/>
      <c r="G216" s="485">
        <f>G232+G258+G264+G227+G253+G238+G274+G222+G248+G243+G279+G269</f>
        <v>5234751</v>
      </c>
      <c r="H216" s="486"/>
      <c r="I216" s="101"/>
      <c r="J216" s="487"/>
      <c r="K216" s="510"/>
      <c r="L216" s="485">
        <f>L232+L258+L264+L227+L253+L238+L274+L222+L248+L243+L279+L269</f>
        <v>0</v>
      </c>
      <c r="M216" s="486"/>
      <c r="N216" s="101"/>
      <c r="O216" s="487"/>
      <c r="P216" s="510"/>
      <c r="Q216" s="485">
        <f>Q232+Q258+Q264+Q227+Q253+Q238+Q274+Q222+Q248+Q243+Q279+Q269</f>
        <v>0</v>
      </c>
      <c r="R216" s="486"/>
      <c r="S216" s="101"/>
      <c r="T216" s="487"/>
      <c r="U216" s="510"/>
      <c r="V216" s="485">
        <f>V232+V258+V264+V227+V253+V238+V274+V222+V248+V243+V279+V269</f>
        <v>0</v>
      </c>
      <c r="W216" s="486"/>
      <c r="X216" s="101"/>
      <c r="Y216" s="487"/>
      <c r="Z216" s="510"/>
      <c r="AA216" s="485">
        <f>AA232+AA258+AA264+AA227+AA253+AA238+AA274+AA222+AA248+AA243+AA279+AA269</f>
        <v>0</v>
      </c>
      <c r="AB216" s="486"/>
      <c r="AC216" s="101"/>
      <c r="AD216" s="487"/>
      <c r="AE216" s="510"/>
      <c r="AF216" s="485">
        <f>AF232+AF258+AF264+AF227+AF253+AF238+AF274+AF222+AF248+AF243+AF279+AF269</f>
        <v>0</v>
      </c>
      <c r="AG216" s="486"/>
      <c r="AH216" s="101"/>
      <c r="AI216" s="487"/>
      <c r="AJ216" s="510"/>
      <c r="AK216" s="485">
        <f>AK232+AK258+AK264+AK227+AK253+AK238+AK274+AK222+AK248+AK243+AK279+AK269</f>
        <v>0</v>
      </c>
      <c r="AL216" s="486"/>
      <c r="AM216" s="49"/>
      <c r="AN216" s="487"/>
      <c r="AO216" s="510"/>
      <c r="AP216" s="485">
        <f>AP232+AP258+AP264+AP227+AP253+AP238+AP274+AP222+AP248+AP243+AP279+AP269</f>
        <v>0</v>
      </c>
      <c r="AQ216" s="486"/>
      <c r="AR216" s="101"/>
      <c r="AS216" s="487"/>
      <c r="AT216" s="510"/>
      <c r="AU216" s="485">
        <f>AU232+AU258+AU264+AU227+AU253+AU238+AU274+AU222+AU248+AU243+AU279+AU269</f>
        <v>0</v>
      </c>
      <c r="AV216" s="486"/>
      <c r="AW216" s="101"/>
      <c r="AX216" s="487"/>
      <c r="AY216" s="510"/>
      <c r="AZ216" s="485">
        <f>AZ232+AZ258+AZ264+AZ227+AZ253+AZ238+AZ274+AZ222+AZ248+AZ243+AZ279+AZ269</f>
        <v>0</v>
      </c>
      <c r="BA216" s="486"/>
      <c r="BB216" s="101"/>
      <c r="BC216" s="487"/>
      <c r="BD216" s="510"/>
      <c r="BE216" s="485">
        <f>BE232+BE258+BE264+BE227+BE253+BE238+BE274+BE222+BE248+BE243+BE279+BE269</f>
        <v>0</v>
      </c>
      <c r="BF216" s="486"/>
      <c r="BG216" s="101"/>
      <c r="BH216" s="487"/>
      <c r="BI216" s="510"/>
      <c r="BJ216" s="485">
        <f>BJ232+BJ258+BJ264+BJ227+BJ253+BJ238+BJ274+BJ222+BJ248+BJ243+BJ279+BJ269</f>
        <v>7244040</v>
      </c>
      <c r="BK216" s="486"/>
      <c r="BL216" s="101"/>
      <c r="BM216" s="487"/>
      <c r="BN216" s="510"/>
      <c r="BO216" s="485">
        <f>BO232+BO258+BO264+BO227+BO253+BO238+BO274+BO222+BO248+BO243+BO279+BO269</f>
        <v>0</v>
      </c>
      <c r="BP216" s="486"/>
      <c r="BQ216" s="101"/>
      <c r="BR216" s="487"/>
      <c r="BS216" s="510"/>
      <c r="BT216" s="485">
        <f>BT232+BT258+BT264+BT227+BT253+BT238+BT274+BT222+BT248+BT243+BT279+BT269</f>
        <v>7244040</v>
      </c>
      <c r="BU216" s="486"/>
      <c r="BV216" s="101"/>
      <c r="BW216" s="398"/>
      <c r="BZ216" s="411"/>
      <c r="CA216" s="411"/>
    </row>
    <row r="217" spans="1:79" ht="12.75" x14ac:dyDescent="0.2">
      <c r="A217" s="388"/>
      <c r="B217" s="388"/>
      <c r="D217" s="398" t="s">
        <v>375</v>
      </c>
      <c r="E217" s="509"/>
      <c r="F217" s="480"/>
      <c r="G217" s="101">
        <f>G233+G259+G265+G228+G254+G239+G275+G223+G249+G244+G280+G270</f>
        <v>405928</v>
      </c>
      <c r="H217" s="49"/>
      <c r="I217" s="101"/>
      <c r="J217" s="487"/>
      <c r="K217" s="480"/>
      <c r="L217" s="101">
        <f>L233+L259+L265+L228+L254+L239+L275+L223+L249+L244+L280+L270</f>
        <v>0</v>
      </c>
      <c r="M217" s="49"/>
      <c r="N217" s="101"/>
      <c r="O217" s="487"/>
      <c r="P217" s="480"/>
      <c r="Q217" s="101">
        <f>Q233+Q259+Q265+Q228+Q254+Q239+Q275+Q223+Q249+Q244+Q280+Q270</f>
        <v>0</v>
      </c>
      <c r="R217" s="49"/>
      <c r="S217" s="101"/>
      <c r="T217" s="487"/>
      <c r="U217" s="480"/>
      <c r="V217" s="101">
        <f>V233+V259+V265+V228+V254+V239+V275+V223+V249+V244+V280+V270</f>
        <v>0</v>
      </c>
      <c r="W217" s="49"/>
      <c r="X217" s="101"/>
      <c r="Y217" s="487"/>
      <c r="Z217" s="480"/>
      <c r="AA217" s="101">
        <f>AA233+AA259+AA265+AA228+AA254+AA239+AA275+AA223+AA249+AA244+AA280+AA270</f>
        <v>0</v>
      </c>
      <c r="AB217" s="49"/>
      <c r="AC217" s="101"/>
      <c r="AD217" s="487"/>
      <c r="AE217" s="480"/>
      <c r="AF217" s="101">
        <f>AF233+AF259+AF265+AF228+AF254+AF239+AF275+AF223+AF249+AF244+AF280+AF270</f>
        <v>0</v>
      </c>
      <c r="AG217" s="49"/>
      <c r="AH217" s="101"/>
      <c r="AI217" s="487"/>
      <c r="AJ217" s="480"/>
      <c r="AK217" s="101">
        <f>AK233+AK259+AK265+AK228+AK254+AK239+AK275+AK223+AK249+AK244+AK280+AK270</f>
        <v>0</v>
      </c>
      <c r="AL217" s="49"/>
      <c r="AM217" s="101"/>
      <c r="AN217" s="487"/>
      <c r="AO217" s="480"/>
      <c r="AP217" s="101">
        <f>AP233+AP259+AP265+AP228+AP254+AP239+AP275+AP223+AP249+AP244+AP280+AP270</f>
        <v>0</v>
      </c>
      <c r="AQ217" s="49"/>
      <c r="AR217" s="101"/>
      <c r="AS217" s="487"/>
      <c r="AT217" s="480"/>
      <c r="AU217" s="101">
        <f>AU233+AU259+AU265+AU228+AU254+AU239+AU275+AU223+AU249+AU244+AU280+AU270</f>
        <v>0</v>
      </c>
      <c r="AV217" s="49"/>
      <c r="AW217" s="101"/>
      <c r="AX217" s="487"/>
      <c r="AY217" s="480"/>
      <c r="AZ217" s="101">
        <f>AZ233+AZ259+AZ265+AZ228+AZ254+AZ239+AZ275+AZ223+AZ249+AZ244+AZ280+AZ270</f>
        <v>0</v>
      </c>
      <c r="BA217" s="49"/>
      <c r="BB217" s="101"/>
      <c r="BC217" s="487"/>
      <c r="BD217" s="480"/>
      <c r="BE217" s="101">
        <f>BE233+BE259+BE265+BE228+BE254+BE239+BE275+BE223+BE249+BE244+BE280+BE270</f>
        <v>0</v>
      </c>
      <c r="BF217" s="49"/>
      <c r="BG217" s="101"/>
      <c r="BH217" s="487"/>
      <c r="BI217" s="480"/>
      <c r="BJ217" s="101">
        <f>BJ233+BJ259+BJ265+BJ228+BJ254+BJ239+BJ275+BJ223+BJ249+BJ244+BJ280+BJ270</f>
        <v>730496</v>
      </c>
      <c r="BK217" s="49"/>
      <c r="BL217" s="101"/>
      <c r="BM217" s="487"/>
      <c r="BN217" s="480"/>
      <c r="BO217" s="101">
        <f>BO233+BO259+BO265+BO228+BO254+BO239+BO275+BO223+BO249+BO244+BO280+BO270</f>
        <v>0</v>
      </c>
      <c r="BP217" s="49"/>
      <c r="BQ217" s="101"/>
      <c r="BR217" s="487"/>
      <c r="BS217" s="480"/>
      <c r="BT217" s="101">
        <f>BT233+BT259+BT265+BT228+BT254+BT239+BT275+BT223+BT249+BT244+BT280+BT270</f>
        <v>730496</v>
      </c>
      <c r="BU217" s="49"/>
      <c r="BV217" s="101"/>
      <c r="BW217" s="398"/>
      <c r="BZ217" s="411"/>
      <c r="CA217" s="411"/>
    </row>
    <row r="218" spans="1:79" ht="12.75" x14ac:dyDescent="0.2">
      <c r="A218" s="388"/>
      <c r="B218" s="388"/>
      <c r="D218" s="398" t="s">
        <v>383</v>
      </c>
      <c r="E218" s="509"/>
      <c r="F218" s="480"/>
      <c r="G218" s="101">
        <f>G234+G260+G266+G229+G255+G240+G276+G224+G250+G245+G281+G271</f>
        <v>-397326</v>
      </c>
      <c r="H218" s="49"/>
      <c r="I218" s="101"/>
      <c r="J218" s="487"/>
      <c r="K218" s="480"/>
      <c r="L218" s="101">
        <f>L234+L260+L266+L229+L255+L240+L276+L224+L250+L245+L281+L271</f>
        <v>0</v>
      </c>
      <c r="M218" s="49"/>
      <c r="N218" s="101"/>
      <c r="O218" s="487"/>
      <c r="P218" s="480"/>
      <c r="Q218" s="101">
        <f>Q234+Q260+Q266+Q229+Q255+Q240+Q276+Q224+Q250+Q245+Q281+Q271</f>
        <v>0</v>
      </c>
      <c r="R218" s="49"/>
      <c r="S218" s="101"/>
      <c r="T218" s="487"/>
      <c r="U218" s="480"/>
      <c r="V218" s="101">
        <f>V234+V260+V266+V229+V255+V240+V276+V224+V250+V245+V281+V271</f>
        <v>0</v>
      </c>
      <c r="W218" s="49"/>
      <c r="X218" s="101"/>
      <c r="Y218" s="487"/>
      <c r="Z218" s="480"/>
      <c r="AA218" s="101">
        <f>AA234+AA260+AA266+AA229+AA255+AA240+AA276+AA224+AA250+AA245+AA281+AA271</f>
        <v>0</v>
      </c>
      <c r="AB218" s="49"/>
      <c r="AC218" s="101"/>
      <c r="AD218" s="487"/>
      <c r="AE218" s="480"/>
      <c r="AF218" s="101">
        <f>AF234+AF260+AF266+AF229+AF255+AF240+AF276+AF224+AF250+AF245+AF281+AF271</f>
        <v>0</v>
      </c>
      <c r="AG218" s="49"/>
      <c r="AH218" s="101"/>
      <c r="AI218" s="487"/>
      <c r="AJ218" s="480"/>
      <c r="AK218" s="101">
        <f>AK234+AK260+AK266+AK229+AK255+AK240+AK276+AK224+AK250+AK245+AK281+AK271</f>
        <v>0</v>
      </c>
      <c r="AL218" s="49"/>
      <c r="AM218" s="101"/>
      <c r="AN218" s="487"/>
      <c r="AO218" s="480"/>
      <c r="AP218" s="101">
        <f>AP234+AP260+AP266+AP229+AP255+AP240+AP276+AP224+AP250+AP245+AP281+AP271</f>
        <v>0</v>
      </c>
      <c r="AQ218" s="49"/>
      <c r="AR218" s="101"/>
      <c r="AS218" s="487"/>
      <c r="AT218" s="480"/>
      <c r="AU218" s="101">
        <f>AU234+AU260+AU266+AU229+AU255+AU240+AU276+AU224+AU250+AU245+AU281+AU271</f>
        <v>0</v>
      </c>
      <c r="AV218" s="49"/>
      <c r="AW218" s="101"/>
      <c r="AX218" s="487"/>
      <c r="AY218" s="480"/>
      <c r="AZ218" s="101">
        <f>AZ234+AZ260+AZ266+AZ229+AZ255+AZ240+AZ276+AZ224+AZ250+AZ245+AZ281+AZ271</f>
        <v>0</v>
      </c>
      <c r="BA218" s="49"/>
      <c r="BB218" s="101"/>
      <c r="BC218" s="487"/>
      <c r="BD218" s="480"/>
      <c r="BE218" s="101">
        <f>BE234+BE260+BE266+BE229+BE255+BE240+BE276+BE224+BE250+BE245+BE281+BE271</f>
        <v>0</v>
      </c>
      <c r="BF218" s="49"/>
      <c r="BG218" s="101"/>
      <c r="BH218" s="487"/>
      <c r="BI218" s="480"/>
      <c r="BJ218" s="101">
        <f>BJ234+BJ260+BJ266+BJ229+BJ255+BJ240+BJ276+BJ224+BJ250+BJ245+BJ281+BJ271</f>
        <v>-397326</v>
      </c>
      <c r="BK218" s="49"/>
      <c r="BL218" s="101"/>
      <c r="BM218" s="487"/>
      <c r="BN218" s="480"/>
      <c r="BO218" s="101">
        <f>BO234+BO260+BO266+BO229+BO255+BO240+BO276+BO224+BO250+BO245+BO281+BO271</f>
        <v>0</v>
      </c>
      <c r="BP218" s="49"/>
      <c r="BQ218" s="101"/>
      <c r="BR218" s="487"/>
      <c r="BS218" s="480"/>
      <c r="BT218" s="101">
        <f>BT234+BT260+BT266+BT229+BT255+BT240+BT276+BT224+BT250+BT245+BT281+BT271</f>
        <v>-397326</v>
      </c>
      <c r="BU218" s="49"/>
      <c r="BV218" s="101"/>
      <c r="BW218" s="398"/>
      <c r="BZ218" s="411"/>
      <c r="CA218" s="411"/>
    </row>
    <row r="219" spans="1:79" ht="12.75" x14ac:dyDescent="0.2">
      <c r="A219" s="388"/>
      <c r="B219" s="388"/>
      <c r="D219" s="398" t="s">
        <v>377</v>
      </c>
      <c r="E219" s="509"/>
      <c r="F219" s="512"/>
      <c r="G219" s="496">
        <f>G235+G261</f>
        <v>0</v>
      </c>
      <c r="H219" s="90"/>
      <c r="I219" s="101"/>
      <c r="J219" s="487"/>
      <c r="K219" s="512"/>
      <c r="L219" s="496">
        <f>L235+L261</f>
        <v>0</v>
      </c>
      <c r="M219" s="90"/>
      <c r="N219" s="101"/>
      <c r="O219" s="487"/>
      <c r="P219" s="512"/>
      <c r="Q219" s="496">
        <f>Q235+Q261</f>
        <v>0</v>
      </c>
      <c r="R219" s="90"/>
      <c r="S219" s="101"/>
      <c r="T219" s="487"/>
      <c r="U219" s="512"/>
      <c r="V219" s="496">
        <f>V235+V261</f>
        <v>0</v>
      </c>
      <c r="W219" s="90"/>
      <c r="X219" s="101"/>
      <c r="Y219" s="487"/>
      <c r="Z219" s="512"/>
      <c r="AA219" s="496">
        <f>AA235+AA261</f>
        <v>0</v>
      </c>
      <c r="AB219" s="90"/>
      <c r="AC219" s="101"/>
      <c r="AD219" s="487"/>
      <c r="AE219" s="512"/>
      <c r="AF219" s="496">
        <f>AF235+AF261</f>
        <v>0</v>
      </c>
      <c r="AG219" s="90"/>
      <c r="AH219" s="101"/>
      <c r="AI219" s="487"/>
      <c r="AJ219" s="512"/>
      <c r="AK219" s="496">
        <f>AK235+AK261</f>
        <v>0</v>
      </c>
      <c r="AL219" s="90"/>
      <c r="AM219" s="101"/>
      <c r="AN219" s="487"/>
      <c r="AO219" s="512"/>
      <c r="AP219" s="496">
        <f>AP235+AP261</f>
        <v>0</v>
      </c>
      <c r="AQ219" s="90"/>
      <c r="AR219" s="101"/>
      <c r="AS219" s="487"/>
      <c r="AT219" s="512"/>
      <c r="AU219" s="496">
        <f>AU235+AU261</f>
        <v>0</v>
      </c>
      <c r="AV219" s="90"/>
      <c r="AW219" s="101"/>
      <c r="AX219" s="487"/>
      <c r="AY219" s="512"/>
      <c r="AZ219" s="496">
        <f>AZ235+AZ261</f>
        <v>0</v>
      </c>
      <c r="BA219" s="90"/>
      <c r="BB219" s="101"/>
      <c r="BC219" s="487"/>
      <c r="BD219" s="512"/>
      <c r="BE219" s="496">
        <f>BE235+BE261</f>
        <v>0</v>
      </c>
      <c r="BF219" s="90"/>
      <c r="BG219" s="101"/>
      <c r="BH219" s="487"/>
      <c r="BI219" s="512"/>
      <c r="BJ219" s="496">
        <f>BJ235+BJ261</f>
        <v>0</v>
      </c>
      <c r="BK219" s="90"/>
      <c r="BL219" s="101"/>
      <c r="BM219" s="487"/>
      <c r="BN219" s="512"/>
      <c r="BO219" s="496">
        <f>BO235+BO261</f>
        <v>0</v>
      </c>
      <c r="BP219" s="90"/>
      <c r="BQ219" s="101"/>
      <c r="BR219" s="487"/>
      <c r="BS219" s="512"/>
      <c r="BT219" s="496">
        <f>BT235+BT261</f>
        <v>0</v>
      </c>
      <c r="BU219" s="90"/>
      <c r="BV219" s="101"/>
      <c r="BW219" s="398"/>
      <c r="BZ219" s="411"/>
      <c r="CA219" s="411"/>
    </row>
    <row r="220" spans="1:79" ht="12.75" x14ac:dyDescent="0.2">
      <c r="A220" s="388"/>
      <c r="B220" s="388"/>
      <c r="D220" s="398"/>
      <c r="E220" s="509"/>
      <c r="F220" s="239"/>
      <c r="G220" s="101"/>
      <c r="H220" s="101"/>
      <c r="I220" s="101"/>
      <c r="J220" s="487"/>
      <c r="K220" s="239"/>
      <c r="L220" s="101"/>
      <c r="M220" s="101"/>
      <c r="N220" s="101"/>
      <c r="O220" s="487"/>
      <c r="P220" s="239"/>
      <c r="Q220" s="101"/>
      <c r="R220" s="101"/>
      <c r="S220" s="101"/>
      <c r="T220" s="487"/>
      <c r="U220" s="239"/>
      <c r="V220" s="101"/>
      <c r="W220" s="101"/>
      <c r="X220" s="101"/>
      <c r="Y220" s="487"/>
      <c r="Z220" s="239"/>
      <c r="AA220" s="101"/>
      <c r="AB220" s="101"/>
      <c r="AC220" s="101"/>
      <c r="AD220" s="487"/>
      <c r="AE220" s="239"/>
      <c r="AF220" s="101"/>
      <c r="AG220" s="101"/>
      <c r="AH220" s="101"/>
      <c r="AI220" s="487"/>
      <c r="AJ220" s="239"/>
      <c r="AK220" s="101"/>
      <c r="AL220" s="101"/>
      <c r="AM220" s="101"/>
      <c r="AN220" s="487"/>
      <c r="AO220" s="239"/>
      <c r="AP220" s="101"/>
      <c r="AQ220" s="101"/>
      <c r="AR220" s="101"/>
      <c r="AS220" s="487"/>
      <c r="AT220" s="239"/>
      <c r="AU220" s="101"/>
      <c r="AV220" s="101"/>
      <c r="AW220" s="101"/>
      <c r="AX220" s="487"/>
      <c r="AY220" s="239"/>
      <c r="AZ220" s="101"/>
      <c r="BA220" s="101"/>
      <c r="BB220" s="101"/>
      <c r="BC220" s="487"/>
      <c r="BD220" s="239"/>
      <c r="BE220" s="101"/>
      <c r="BF220" s="101"/>
      <c r="BG220" s="101"/>
      <c r="BH220" s="487"/>
      <c r="BI220" s="239"/>
      <c r="BJ220" s="101"/>
      <c r="BK220" s="101"/>
      <c r="BL220" s="101"/>
      <c r="BM220" s="487"/>
      <c r="BN220" s="239"/>
      <c r="BO220" s="101"/>
      <c r="BP220" s="101"/>
      <c r="BQ220" s="101"/>
      <c r="BR220" s="487"/>
      <c r="BS220" s="239"/>
      <c r="BT220" s="101"/>
      <c r="BU220" s="101"/>
      <c r="BV220" s="101"/>
      <c r="BW220" s="398"/>
      <c r="BZ220" s="411"/>
      <c r="CA220" s="411"/>
    </row>
    <row r="221" spans="1:79" ht="12.75" x14ac:dyDescent="0.2">
      <c r="A221" s="388"/>
      <c r="B221" s="388"/>
      <c r="D221" s="398" t="s">
        <v>429</v>
      </c>
      <c r="F221" s="388"/>
      <c r="G221" s="101">
        <f>SUM(G222:G224)</f>
        <v>0</v>
      </c>
      <c r="H221" s="101"/>
      <c r="I221" s="101"/>
      <c r="J221" s="487"/>
      <c r="K221" s="101"/>
      <c r="L221" s="101">
        <f>SUM(L222:L224)</f>
        <v>0</v>
      </c>
      <c r="M221" s="101"/>
      <c r="N221" s="101"/>
      <c r="O221" s="487"/>
      <c r="P221" s="101"/>
      <c r="Q221" s="101">
        <f>SUM(Q222:Q224)</f>
        <v>0</v>
      </c>
      <c r="R221" s="101"/>
      <c r="S221" s="101"/>
      <c r="T221" s="487"/>
      <c r="U221" s="101"/>
      <c r="V221" s="101">
        <f>SUM(V222:V224)</f>
        <v>0</v>
      </c>
      <c r="W221" s="101"/>
      <c r="X221" s="101"/>
      <c r="Y221" s="487"/>
      <c r="Z221" s="101"/>
      <c r="AA221" s="101">
        <f>SUM(AA222:AA224)</f>
        <v>0</v>
      </c>
      <c r="AB221" s="101"/>
      <c r="AC221" s="101"/>
      <c r="AD221" s="487"/>
      <c r="AE221" s="101"/>
      <c r="AF221" s="101">
        <f>SUM(AF222:AF224)</f>
        <v>0</v>
      </c>
      <c r="AG221" s="101"/>
      <c r="AH221" s="101"/>
      <c r="AI221" s="487"/>
      <c r="AJ221" s="101"/>
      <c r="AK221" s="101">
        <f>SUM(AK222:AK224)</f>
        <v>0</v>
      </c>
      <c r="AL221" s="101"/>
      <c r="AM221" s="101"/>
      <c r="AN221" s="487"/>
      <c r="AO221" s="101"/>
      <c r="AP221" s="101">
        <f>SUM(AP222:AP224)</f>
        <v>0</v>
      </c>
      <c r="AQ221" s="101"/>
      <c r="AR221" s="101"/>
      <c r="AS221" s="487"/>
      <c r="AT221" s="101"/>
      <c r="AU221" s="101">
        <f>SUM(AU222:AU224)</f>
        <v>0</v>
      </c>
      <c r="AV221" s="101"/>
      <c r="AW221" s="101"/>
      <c r="AX221" s="487"/>
      <c r="AY221" s="101"/>
      <c r="AZ221" s="101">
        <f>SUM(AZ222:AZ224)</f>
        <v>0</v>
      </c>
      <c r="BA221" s="101"/>
      <c r="BB221" s="101"/>
      <c r="BC221" s="487"/>
      <c r="BD221" s="101"/>
      <c r="BE221" s="101">
        <f>SUM(BE222:BE224)</f>
        <v>0</v>
      </c>
      <c r="BF221" s="101"/>
      <c r="BG221" s="101"/>
      <c r="BH221" s="487"/>
      <c r="BI221" s="101"/>
      <c r="BJ221" s="101">
        <f>SUM(BJ222:BJ224)</f>
        <v>0</v>
      </c>
      <c r="BK221" s="101"/>
      <c r="BL221" s="101"/>
      <c r="BM221" s="487"/>
      <c r="BN221" s="101"/>
      <c r="BO221" s="101">
        <f>SUM(BO222:BO224)</f>
        <v>0</v>
      </c>
      <c r="BP221" s="101"/>
      <c r="BQ221" s="101"/>
      <c r="BR221" s="487"/>
      <c r="BS221" s="101"/>
      <c r="BT221" s="101">
        <f>SUM(BT222:BT224)</f>
        <v>0</v>
      </c>
      <c r="BU221" s="101"/>
      <c r="BV221" s="101"/>
      <c r="BW221" s="398"/>
      <c r="BZ221" s="411"/>
      <c r="CA221" s="411"/>
    </row>
    <row r="222" spans="1:79" ht="12.75" x14ac:dyDescent="0.2">
      <c r="A222" s="388"/>
      <c r="B222" s="388"/>
      <c r="D222" s="398" t="s">
        <v>373</v>
      </c>
      <c r="F222" s="412"/>
      <c r="G222" s="485">
        <v>0</v>
      </c>
      <c r="H222" s="486"/>
      <c r="I222" s="101"/>
      <c r="J222" s="487"/>
      <c r="K222" s="488"/>
      <c r="L222" s="485">
        <v>0</v>
      </c>
      <c r="M222" s="486"/>
      <c r="N222" s="101"/>
      <c r="O222" s="487"/>
      <c r="P222" s="488"/>
      <c r="Q222" s="485">
        <v>0</v>
      </c>
      <c r="R222" s="486"/>
      <c r="S222" s="101"/>
      <c r="T222" s="487"/>
      <c r="U222" s="488"/>
      <c r="V222" s="485">
        <v>0</v>
      </c>
      <c r="W222" s="486"/>
      <c r="X222" s="101"/>
      <c r="Y222" s="487"/>
      <c r="Z222" s="488"/>
      <c r="AA222" s="485">
        <v>0</v>
      </c>
      <c r="AB222" s="486"/>
      <c r="AC222" s="101"/>
      <c r="AD222" s="487"/>
      <c r="AE222" s="488"/>
      <c r="AF222" s="485">
        <v>0</v>
      </c>
      <c r="AG222" s="486"/>
      <c r="AH222" s="101"/>
      <c r="AI222" s="487"/>
      <c r="AJ222" s="488"/>
      <c r="AK222" s="485">
        <v>0</v>
      </c>
      <c r="AL222" s="486"/>
      <c r="AM222" s="101"/>
      <c r="AN222" s="487"/>
      <c r="AO222" s="488"/>
      <c r="AP222" s="485">
        <v>0</v>
      </c>
      <c r="AQ222" s="486"/>
      <c r="AR222" s="101"/>
      <c r="AS222" s="487"/>
      <c r="AT222" s="488"/>
      <c r="AU222" s="485">
        <v>0</v>
      </c>
      <c r="AV222" s="486"/>
      <c r="AW222" s="101"/>
      <c r="AX222" s="487"/>
      <c r="AY222" s="488"/>
      <c r="AZ222" s="485">
        <v>0</v>
      </c>
      <c r="BA222" s="486"/>
      <c r="BB222" s="101"/>
      <c r="BC222" s="487"/>
      <c r="BD222" s="488"/>
      <c r="BE222" s="485">
        <v>0</v>
      </c>
      <c r="BF222" s="486"/>
      <c r="BG222" s="101"/>
      <c r="BH222" s="487"/>
      <c r="BI222" s="488"/>
      <c r="BJ222" s="485">
        <v>0</v>
      </c>
      <c r="BK222" s="486"/>
      <c r="BL222" s="101"/>
      <c r="BM222" s="487"/>
      <c r="BN222" s="488"/>
      <c r="BO222" s="485">
        <v>0</v>
      </c>
      <c r="BP222" s="486"/>
      <c r="BQ222" s="101"/>
      <c r="BR222" s="487"/>
      <c r="BS222" s="488"/>
      <c r="BT222" s="485">
        <f>SUM(L222:BO222)</f>
        <v>0</v>
      </c>
      <c r="BU222" s="486"/>
      <c r="BV222" s="101"/>
      <c r="BW222" s="398"/>
      <c r="BZ222" s="411"/>
      <c r="CA222" s="411"/>
    </row>
    <row r="223" spans="1:79" x14ac:dyDescent="0.3">
      <c r="A223" s="388"/>
      <c r="B223" s="388"/>
      <c r="D223" s="398" t="s">
        <v>375</v>
      </c>
      <c r="F223" s="404"/>
      <c r="G223" s="101">
        <v>0</v>
      </c>
      <c r="H223" s="49"/>
      <c r="I223" s="101"/>
      <c r="J223" s="487"/>
      <c r="K223" s="487"/>
      <c r="L223" s="101">
        <v>0</v>
      </c>
      <c r="M223" s="49"/>
      <c r="N223" s="101"/>
      <c r="O223" s="487"/>
      <c r="P223" s="487"/>
      <c r="Q223" s="101">
        <v>0</v>
      </c>
      <c r="R223" s="49"/>
      <c r="S223" s="101"/>
      <c r="T223" s="487"/>
      <c r="U223" s="487"/>
      <c r="V223" s="101">
        <v>0</v>
      </c>
      <c r="W223" s="49"/>
      <c r="X223" s="101"/>
      <c r="Y223" s="487"/>
      <c r="Z223" s="487"/>
      <c r="AA223" s="101">
        <v>0</v>
      </c>
      <c r="AB223" s="49"/>
      <c r="AC223" s="101"/>
      <c r="AD223" s="487"/>
      <c r="AE223" s="487"/>
      <c r="AF223" s="101">
        <v>0</v>
      </c>
      <c r="AG223" s="49"/>
      <c r="AH223" s="101"/>
      <c r="AI223" s="487"/>
      <c r="AJ223" s="487"/>
      <c r="AK223" s="101">
        <v>0</v>
      </c>
      <c r="AL223" s="49"/>
      <c r="AM223" s="101"/>
      <c r="AN223" s="487"/>
      <c r="AO223" s="487"/>
      <c r="AP223" s="101">
        <v>0</v>
      </c>
      <c r="AQ223" s="49"/>
      <c r="AR223" s="101"/>
      <c r="AS223" s="487"/>
      <c r="AT223" s="487"/>
      <c r="AU223" s="101">
        <v>0</v>
      </c>
      <c r="AV223" s="49"/>
      <c r="AW223" s="101"/>
      <c r="AX223" s="487"/>
      <c r="AY223" s="487"/>
      <c r="AZ223" s="101">
        <v>0</v>
      </c>
      <c r="BA223" s="49"/>
      <c r="BB223" s="101"/>
      <c r="BC223" s="487"/>
      <c r="BD223" s="487"/>
      <c r="BE223" s="101">
        <v>0</v>
      </c>
      <c r="BF223" s="49"/>
      <c r="BG223" s="101"/>
      <c r="BH223" s="487"/>
      <c r="BI223" s="487"/>
      <c r="BJ223" s="101">
        <v>0</v>
      </c>
      <c r="BK223" s="49"/>
      <c r="BL223" s="101"/>
      <c r="BM223" s="487"/>
      <c r="BN223" s="487"/>
      <c r="BO223" s="101">
        <v>0</v>
      </c>
      <c r="BP223" s="49"/>
      <c r="BQ223" s="101"/>
      <c r="BR223" s="487"/>
      <c r="BS223" s="487"/>
      <c r="BT223" s="101">
        <f>SUM(L223:BO223)</f>
        <v>0</v>
      </c>
      <c r="BU223" s="49"/>
      <c r="BV223" s="101"/>
      <c r="BW223" s="398"/>
      <c r="BZ223" s="411"/>
      <c r="CA223" s="411"/>
    </row>
    <row r="224" spans="1:79" x14ac:dyDescent="0.3">
      <c r="A224" s="388"/>
      <c r="B224" s="388"/>
      <c r="D224" s="398" t="s">
        <v>383</v>
      </c>
      <c r="F224" s="427"/>
      <c r="G224" s="496">
        <v>0</v>
      </c>
      <c r="H224" s="90"/>
      <c r="I224" s="101"/>
      <c r="J224" s="487"/>
      <c r="K224" s="497"/>
      <c r="L224" s="496">
        <v>0</v>
      </c>
      <c r="M224" s="90"/>
      <c r="N224" s="101"/>
      <c r="O224" s="487"/>
      <c r="P224" s="497"/>
      <c r="Q224" s="496">
        <v>0</v>
      </c>
      <c r="R224" s="90"/>
      <c r="S224" s="101"/>
      <c r="T224" s="487"/>
      <c r="U224" s="497"/>
      <c r="V224" s="496">
        <v>0</v>
      </c>
      <c r="W224" s="90"/>
      <c r="X224" s="101"/>
      <c r="Y224" s="487"/>
      <c r="Z224" s="497"/>
      <c r="AA224" s="496">
        <v>0</v>
      </c>
      <c r="AB224" s="90"/>
      <c r="AC224" s="101"/>
      <c r="AD224" s="487"/>
      <c r="AE224" s="497"/>
      <c r="AF224" s="496">
        <v>0</v>
      </c>
      <c r="AG224" s="90"/>
      <c r="AH224" s="101"/>
      <c r="AI224" s="487"/>
      <c r="AJ224" s="497"/>
      <c r="AK224" s="496">
        <v>0</v>
      </c>
      <c r="AL224" s="90"/>
      <c r="AM224" s="101"/>
      <c r="AN224" s="487"/>
      <c r="AO224" s="497"/>
      <c r="AP224" s="496">
        <v>0</v>
      </c>
      <c r="AQ224" s="90"/>
      <c r="AR224" s="101"/>
      <c r="AS224" s="487"/>
      <c r="AT224" s="497"/>
      <c r="AU224" s="496">
        <v>0</v>
      </c>
      <c r="AV224" s="90"/>
      <c r="AW224" s="101"/>
      <c r="AX224" s="487"/>
      <c r="AY224" s="497"/>
      <c r="AZ224" s="496">
        <v>0</v>
      </c>
      <c r="BA224" s="90"/>
      <c r="BB224" s="101"/>
      <c r="BC224" s="487"/>
      <c r="BD224" s="497"/>
      <c r="BE224" s="496">
        <v>0</v>
      </c>
      <c r="BF224" s="90"/>
      <c r="BG224" s="101"/>
      <c r="BH224" s="487"/>
      <c r="BI224" s="497"/>
      <c r="BJ224" s="496">
        <v>0</v>
      </c>
      <c r="BK224" s="90"/>
      <c r="BL224" s="101"/>
      <c r="BM224" s="487"/>
      <c r="BN224" s="497"/>
      <c r="BO224" s="496">
        <v>0</v>
      </c>
      <c r="BP224" s="90"/>
      <c r="BQ224" s="101"/>
      <c r="BR224" s="487"/>
      <c r="BS224" s="497"/>
      <c r="BT224" s="496">
        <f>SUM(L224:BO224)</f>
        <v>0</v>
      </c>
      <c r="BU224" s="90"/>
      <c r="BV224" s="101"/>
      <c r="BW224" s="398"/>
      <c r="BZ224" s="411"/>
      <c r="CA224" s="411"/>
    </row>
    <row r="225" spans="1:79" x14ac:dyDescent="0.3">
      <c r="A225" s="388"/>
      <c r="B225" s="388"/>
      <c r="D225" s="398"/>
      <c r="F225" s="388"/>
      <c r="G225" s="101"/>
      <c r="H225" s="101"/>
      <c r="I225" s="101"/>
      <c r="J225" s="487"/>
      <c r="K225" s="101"/>
      <c r="L225" s="101"/>
      <c r="M225" s="101"/>
      <c r="N225" s="101"/>
      <c r="O225" s="487"/>
      <c r="P225" s="101"/>
      <c r="Q225" s="101"/>
      <c r="R225" s="101"/>
      <c r="S225" s="101"/>
      <c r="T225" s="487"/>
      <c r="U225" s="101"/>
      <c r="V225" s="101"/>
      <c r="W225" s="101"/>
      <c r="X225" s="101"/>
      <c r="Y225" s="487"/>
      <c r="Z225" s="101"/>
      <c r="AA225" s="101"/>
      <c r="AB225" s="101"/>
      <c r="AC225" s="101"/>
      <c r="AD225" s="487"/>
      <c r="AE225" s="101"/>
      <c r="AF225" s="101"/>
      <c r="AG225" s="101"/>
      <c r="AH225" s="101"/>
      <c r="AI225" s="487"/>
      <c r="AJ225" s="101"/>
      <c r="AK225" s="101"/>
      <c r="AL225" s="101"/>
      <c r="AM225" s="101"/>
      <c r="AN225" s="487"/>
      <c r="AO225" s="101"/>
      <c r="AP225" s="101"/>
      <c r="AQ225" s="101"/>
      <c r="AR225" s="101"/>
      <c r="AS225" s="487"/>
      <c r="AT225" s="101"/>
      <c r="AU225" s="101"/>
      <c r="AV225" s="101"/>
      <c r="AW225" s="101"/>
      <c r="AX225" s="487"/>
      <c r="AY225" s="101"/>
      <c r="AZ225" s="101"/>
      <c r="BA225" s="101"/>
      <c r="BB225" s="101"/>
      <c r="BC225" s="487"/>
      <c r="BD225" s="101"/>
      <c r="BE225" s="101"/>
      <c r="BF225" s="101"/>
      <c r="BG225" s="101"/>
      <c r="BH225" s="487"/>
      <c r="BI225" s="101"/>
      <c r="BJ225" s="101"/>
      <c r="BK225" s="101"/>
      <c r="BL225" s="101"/>
      <c r="BM225" s="487"/>
      <c r="BN225" s="101"/>
      <c r="BO225" s="101"/>
      <c r="BP225" s="101"/>
      <c r="BQ225" s="101"/>
      <c r="BR225" s="487"/>
      <c r="BS225" s="101"/>
      <c r="BT225" s="101"/>
      <c r="BU225" s="101"/>
      <c r="BV225" s="101"/>
      <c r="BW225" s="398"/>
      <c r="BZ225" s="411"/>
      <c r="CA225" s="411"/>
    </row>
    <row r="226" spans="1:79" x14ac:dyDescent="0.3">
      <c r="A226" s="388"/>
      <c r="B226" s="388"/>
      <c r="D226" s="398" t="s">
        <v>384</v>
      </c>
      <c r="F226" s="388"/>
      <c r="G226" s="101">
        <f>SUM(G227:G229)</f>
        <v>2181572</v>
      </c>
      <c r="H226" s="101"/>
      <c r="I226" s="101"/>
      <c r="J226" s="487"/>
      <c r="K226" s="101"/>
      <c r="L226" s="101">
        <f>SUM(L227:L229)</f>
        <v>0</v>
      </c>
      <c r="M226" s="101"/>
      <c r="N226" s="101"/>
      <c r="O226" s="487"/>
      <c r="P226" s="101"/>
      <c r="Q226" s="101">
        <f>SUM(Q227:Q229)</f>
        <v>0</v>
      </c>
      <c r="R226" s="101"/>
      <c r="S226" s="101"/>
      <c r="T226" s="487"/>
      <c r="U226" s="101"/>
      <c r="V226" s="101">
        <f>SUM(V227:V229)</f>
        <v>0</v>
      </c>
      <c r="W226" s="101"/>
      <c r="X226" s="101"/>
      <c r="Y226" s="487"/>
      <c r="Z226" s="101"/>
      <c r="AA226" s="101">
        <f>SUM(AA227:AA229)</f>
        <v>0</v>
      </c>
      <c r="AB226" s="101"/>
      <c r="AC226" s="101"/>
      <c r="AD226" s="487"/>
      <c r="AE226" s="101"/>
      <c r="AF226" s="101">
        <f>SUM(AF227:AF229)</f>
        <v>0</v>
      </c>
      <c r="AG226" s="101"/>
      <c r="AH226" s="101"/>
      <c r="AI226" s="487"/>
      <c r="AJ226" s="101"/>
      <c r="AK226" s="101">
        <f>SUM(AK227:AK229)</f>
        <v>0</v>
      </c>
      <c r="AL226" s="101"/>
      <c r="AM226" s="101"/>
      <c r="AN226" s="487"/>
      <c r="AO226" s="101"/>
      <c r="AP226" s="101">
        <f>SUM(AP227:AP229)</f>
        <v>0</v>
      </c>
      <c r="AQ226" s="101"/>
      <c r="AR226" s="101"/>
      <c r="AS226" s="487"/>
      <c r="AT226" s="101"/>
      <c r="AU226" s="101">
        <f>SUM(AU227:AU229)</f>
        <v>0</v>
      </c>
      <c r="AV226" s="101"/>
      <c r="AW226" s="101"/>
      <c r="AX226" s="487"/>
      <c r="AY226" s="101"/>
      <c r="AZ226" s="101">
        <f>SUM(AZ227:AZ229)</f>
        <v>0</v>
      </c>
      <c r="BA226" s="101"/>
      <c r="BB226" s="101"/>
      <c r="BC226" s="487"/>
      <c r="BD226" s="101"/>
      <c r="BE226" s="101">
        <f>SUM(BE227:BE229)</f>
        <v>0</v>
      </c>
      <c r="BF226" s="101"/>
      <c r="BG226" s="101"/>
      <c r="BH226" s="487"/>
      <c r="BI226" s="101"/>
      <c r="BJ226" s="101">
        <f>SUM(BJ227:BJ229)</f>
        <v>2181572</v>
      </c>
      <c r="BK226" s="101"/>
      <c r="BL226" s="101"/>
      <c r="BM226" s="487"/>
      <c r="BN226" s="101"/>
      <c r="BO226" s="101">
        <f>SUM(BO227:BO229)</f>
        <v>0</v>
      </c>
      <c r="BP226" s="101"/>
      <c r="BQ226" s="101"/>
      <c r="BR226" s="487"/>
      <c r="BS226" s="101"/>
      <c r="BT226" s="101">
        <f>SUM(BT227:BT229)</f>
        <v>2181572</v>
      </c>
      <c r="BU226" s="101"/>
      <c r="BV226" s="101"/>
      <c r="BW226" s="398"/>
      <c r="BZ226" s="411"/>
      <c r="CA226" s="411"/>
    </row>
    <row r="227" spans="1:79" x14ac:dyDescent="0.3">
      <c r="A227" s="388"/>
      <c r="B227" s="388"/>
      <c r="D227" s="398" t="s">
        <v>373</v>
      </c>
      <c r="F227" s="412"/>
      <c r="G227" s="485">
        <f>2181572+397326</f>
        <v>2578898</v>
      </c>
      <c r="H227" s="486"/>
      <c r="I227" s="101"/>
      <c r="J227" s="487"/>
      <c r="K227" s="488"/>
      <c r="L227" s="485">
        <v>0</v>
      </c>
      <c r="M227" s="486"/>
      <c r="N227" s="101"/>
      <c r="O227" s="487"/>
      <c r="P227" s="488"/>
      <c r="Q227" s="485">
        <v>0</v>
      </c>
      <c r="R227" s="486"/>
      <c r="S227" s="101"/>
      <c r="T227" s="487"/>
      <c r="U227" s="488"/>
      <c r="V227" s="485">
        <v>0</v>
      </c>
      <c r="W227" s="486"/>
      <c r="X227" s="101"/>
      <c r="Y227" s="487"/>
      <c r="Z227" s="488"/>
      <c r="AA227" s="485">
        <v>0</v>
      </c>
      <c r="AB227" s="486"/>
      <c r="AC227" s="101"/>
      <c r="AD227" s="487"/>
      <c r="AE227" s="488"/>
      <c r="AF227" s="485">
        <v>0</v>
      </c>
      <c r="AG227" s="486"/>
      <c r="AH227" s="101"/>
      <c r="AI227" s="487"/>
      <c r="AJ227" s="488"/>
      <c r="AK227" s="485">
        <v>0</v>
      </c>
      <c r="AL227" s="486"/>
      <c r="AM227" s="101"/>
      <c r="AN227" s="487"/>
      <c r="AO227" s="488"/>
      <c r="AP227" s="485">
        <v>0</v>
      </c>
      <c r="AQ227" s="486"/>
      <c r="AR227" s="101"/>
      <c r="AS227" s="487"/>
      <c r="AT227" s="488"/>
      <c r="AU227" s="485">
        <v>0</v>
      </c>
      <c r="AV227" s="486"/>
      <c r="AW227" s="101"/>
      <c r="AX227" s="487"/>
      <c r="AY227" s="488"/>
      <c r="AZ227" s="485">
        <v>0</v>
      </c>
      <c r="BA227" s="486"/>
      <c r="BB227" s="101"/>
      <c r="BC227" s="487"/>
      <c r="BD227" s="488"/>
      <c r="BE227" s="485">
        <v>0</v>
      </c>
      <c r="BF227" s="486"/>
      <c r="BG227" s="101"/>
      <c r="BH227" s="487"/>
      <c r="BI227" s="488"/>
      <c r="BJ227" s="485">
        <f>2181572+397326</f>
        <v>2578898</v>
      </c>
      <c r="BK227" s="486"/>
      <c r="BL227" s="101"/>
      <c r="BM227" s="487"/>
      <c r="BN227" s="488"/>
      <c r="BO227" s="485">
        <v>0</v>
      </c>
      <c r="BP227" s="486"/>
      <c r="BQ227" s="101"/>
      <c r="BR227" s="487"/>
      <c r="BS227" s="488"/>
      <c r="BT227" s="485">
        <f>SUM(L227:BO227)</f>
        <v>2578898</v>
      </c>
      <c r="BU227" s="486"/>
      <c r="BV227" s="101"/>
      <c r="BW227" s="398"/>
      <c r="BZ227" s="411"/>
      <c r="CA227" s="411"/>
    </row>
    <row r="228" spans="1:79" x14ac:dyDescent="0.3">
      <c r="A228" s="388"/>
      <c r="B228" s="388"/>
      <c r="D228" s="398" t="s">
        <v>375</v>
      </c>
      <c r="F228" s="404"/>
      <c r="G228" s="101">
        <v>0</v>
      </c>
      <c r="H228" s="49"/>
      <c r="I228" s="101"/>
      <c r="J228" s="487"/>
      <c r="K228" s="487"/>
      <c r="L228" s="101">
        <v>0</v>
      </c>
      <c r="M228" s="49"/>
      <c r="N228" s="101"/>
      <c r="O228" s="487"/>
      <c r="P228" s="487"/>
      <c r="Q228" s="101">
        <v>0</v>
      </c>
      <c r="R228" s="49"/>
      <c r="S228" s="101"/>
      <c r="T228" s="487"/>
      <c r="U228" s="487"/>
      <c r="V228" s="101">
        <v>0</v>
      </c>
      <c r="W228" s="49"/>
      <c r="X228" s="101"/>
      <c r="Y228" s="487"/>
      <c r="Z228" s="487"/>
      <c r="AA228" s="101">
        <v>0</v>
      </c>
      <c r="AB228" s="49"/>
      <c r="AC228" s="101"/>
      <c r="AD228" s="487"/>
      <c r="AE228" s="487"/>
      <c r="AF228" s="101">
        <v>0</v>
      </c>
      <c r="AG228" s="49"/>
      <c r="AH228" s="101"/>
      <c r="AI228" s="487"/>
      <c r="AJ228" s="487"/>
      <c r="AK228" s="101">
        <v>0</v>
      </c>
      <c r="AL228" s="49"/>
      <c r="AM228" s="101"/>
      <c r="AN228" s="487"/>
      <c r="AO228" s="487"/>
      <c r="AP228" s="101">
        <v>0</v>
      </c>
      <c r="AQ228" s="49"/>
      <c r="AR228" s="101"/>
      <c r="AS228" s="487"/>
      <c r="AT228" s="487"/>
      <c r="AU228" s="101">
        <v>0</v>
      </c>
      <c r="AV228" s="49"/>
      <c r="AW228" s="101"/>
      <c r="AX228" s="487"/>
      <c r="AY228" s="487"/>
      <c r="AZ228" s="101">
        <v>0</v>
      </c>
      <c r="BA228" s="49"/>
      <c r="BB228" s="101"/>
      <c r="BC228" s="487"/>
      <c r="BD228" s="487"/>
      <c r="BE228" s="101">
        <v>0</v>
      </c>
      <c r="BF228" s="49"/>
      <c r="BG228" s="101"/>
      <c r="BH228" s="487"/>
      <c r="BI228" s="487"/>
      <c r="BJ228" s="101">
        <v>0</v>
      </c>
      <c r="BK228" s="49"/>
      <c r="BL228" s="101"/>
      <c r="BM228" s="487"/>
      <c r="BN228" s="487"/>
      <c r="BO228" s="101">
        <v>0</v>
      </c>
      <c r="BP228" s="49"/>
      <c r="BQ228" s="101"/>
      <c r="BR228" s="487"/>
      <c r="BS228" s="487"/>
      <c r="BT228" s="101">
        <f>SUM(L228:BO228)</f>
        <v>0</v>
      </c>
      <c r="BU228" s="49"/>
      <c r="BV228" s="101"/>
      <c r="BW228" s="398"/>
      <c r="BZ228" s="411"/>
      <c r="CA228" s="411"/>
    </row>
    <row r="229" spans="1:79" x14ac:dyDescent="0.3">
      <c r="A229" s="388"/>
      <c r="B229" s="388"/>
      <c r="D229" s="398" t="s">
        <v>383</v>
      </c>
      <c r="F229" s="427"/>
      <c r="G229" s="496">
        <v>-397326</v>
      </c>
      <c r="H229" s="90"/>
      <c r="I229" s="101"/>
      <c r="J229" s="487"/>
      <c r="K229" s="497"/>
      <c r="L229" s="496">
        <v>0</v>
      </c>
      <c r="M229" s="90"/>
      <c r="N229" s="101"/>
      <c r="O229" s="487"/>
      <c r="P229" s="497"/>
      <c r="Q229" s="496">
        <v>0</v>
      </c>
      <c r="R229" s="90"/>
      <c r="S229" s="101"/>
      <c r="T229" s="487"/>
      <c r="U229" s="497"/>
      <c r="V229" s="496">
        <v>0</v>
      </c>
      <c r="W229" s="90"/>
      <c r="X229" s="101"/>
      <c r="Y229" s="487"/>
      <c r="Z229" s="497"/>
      <c r="AA229" s="496">
        <v>0</v>
      </c>
      <c r="AB229" s="90"/>
      <c r="AC229" s="101"/>
      <c r="AD229" s="487"/>
      <c r="AE229" s="497"/>
      <c r="AF229" s="496">
        <v>0</v>
      </c>
      <c r="AG229" s="90"/>
      <c r="AH229" s="101"/>
      <c r="AI229" s="487"/>
      <c r="AJ229" s="497"/>
      <c r="AK229" s="496">
        <v>0</v>
      </c>
      <c r="AL229" s="90"/>
      <c r="AM229" s="101"/>
      <c r="AN229" s="487"/>
      <c r="AO229" s="497"/>
      <c r="AP229" s="496">
        <v>0</v>
      </c>
      <c r="AQ229" s="90"/>
      <c r="AR229" s="101"/>
      <c r="AS229" s="487"/>
      <c r="AT229" s="497"/>
      <c r="AU229" s="496">
        <v>0</v>
      </c>
      <c r="AV229" s="90"/>
      <c r="AW229" s="101"/>
      <c r="AX229" s="487"/>
      <c r="AY229" s="497"/>
      <c r="AZ229" s="496">
        <v>0</v>
      </c>
      <c r="BA229" s="90"/>
      <c r="BB229" s="101"/>
      <c r="BC229" s="487"/>
      <c r="BD229" s="497"/>
      <c r="BE229" s="496">
        <v>0</v>
      </c>
      <c r="BF229" s="90"/>
      <c r="BG229" s="101"/>
      <c r="BH229" s="487"/>
      <c r="BI229" s="497"/>
      <c r="BJ229" s="496">
        <v>-397326</v>
      </c>
      <c r="BK229" s="90"/>
      <c r="BL229" s="101"/>
      <c r="BM229" s="487"/>
      <c r="BN229" s="497"/>
      <c r="BO229" s="496">
        <v>0</v>
      </c>
      <c r="BP229" s="90"/>
      <c r="BQ229" s="101"/>
      <c r="BR229" s="487"/>
      <c r="BS229" s="497"/>
      <c r="BT229" s="496">
        <f>SUM(L229:BO229)</f>
        <v>-397326</v>
      </c>
      <c r="BU229" s="90"/>
      <c r="BV229" s="101"/>
      <c r="BW229" s="398"/>
      <c r="BZ229" s="411"/>
      <c r="CA229" s="411"/>
    </row>
    <row r="230" spans="1:79" ht="12.75" customHeight="1" x14ac:dyDescent="0.3">
      <c r="A230" s="388"/>
      <c r="B230" s="388"/>
      <c r="D230" s="398"/>
      <c r="E230" s="509"/>
      <c r="F230" s="239"/>
      <c r="G230" s="101"/>
      <c r="H230" s="101"/>
      <c r="I230" s="101"/>
      <c r="J230" s="487"/>
      <c r="K230" s="239"/>
      <c r="L230" s="101"/>
      <c r="M230" s="101"/>
      <c r="N230" s="101"/>
      <c r="O230" s="487"/>
      <c r="P230" s="239"/>
      <c r="Q230" s="101"/>
      <c r="R230" s="101"/>
      <c r="S230" s="101"/>
      <c r="T230" s="487"/>
      <c r="U230" s="239"/>
      <c r="V230" s="101"/>
      <c r="W230" s="101"/>
      <c r="X230" s="101"/>
      <c r="Y230" s="487"/>
      <c r="Z230" s="239"/>
      <c r="AA230" s="101"/>
      <c r="AB230" s="101"/>
      <c r="AC230" s="101"/>
      <c r="AD230" s="487"/>
      <c r="AE230" s="239"/>
      <c r="AF230" s="101"/>
      <c r="AG230" s="101"/>
      <c r="AH230" s="101"/>
      <c r="AI230" s="487"/>
      <c r="AJ230" s="239"/>
      <c r="AK230" s="101"/>
      <c r="AL230" s="101"/>
      <c r="AM230" s="101"/>
      <c r="AN230" s="487"/>
      <c r="AO230" s="239"/>
      <c r="AP230" s="101"/>
      <c r="AQ230" s="101"/>
      <c r="AR230" s="101"/>
      <c r="AS230" s="487"/>
      <c r="AT230" s="239"/>
      <c r="AU230" s="101"/>
      <c r="AV230" s="101"/>
      <c r="AW230" s="101"/>
      <c r="AX230" s="487"/>
      <c r="AY230" s="239"/>
      <c r="AZ230" s="101"/>
      <c r="BA230" s="101"/>
      <c r="BB230" s="101"/>
      <c r="BC230" s="487"/>
      <c r="BD230" s="239"/>
      <c r="BE230" s="101"/>
      <c r="BF230" s="101"/>
      <c r="BG230" s="101"/>
      <c r="BH230" s="487"/>
      <c r="BI230" s="239"/>
      <c r="BJ230" s="101"/>
      <c r="BK230" s="101"/>
      <c r="BL230" s="101"/>
      <c r="BM230" s="487"/>
      <c r="BN230" s="239"/>
      <c r="BO230" s="101"/>
      <c r="BP230" s="101"/>
      <c r="BQ230" s="101"/>
      <c r="BR230" s="487"/>
      <c r="BS230" s="239"/>
      <c r="BT230" s="101"/>
      <c r="BU230" s="101"/>
      <c r="BV230" s="101"/>
      <c r="BW230" s="398"/>
      <c r="BZ230" s="411"/>
      <c r="CA230" s="411"/>
    </row>
    <row r="231" spans="1:79" ht="12.75" customHeight="1" x14ac:dyDescent="0.3">
      <c r="A231" s="388"/>
      <c r="B231" s="388"/>
      <c r="D231" s="398" t="str">
        <f>D120</f>
        <v xml:space="preserve">  R2040 (9.00%  2040/09/11)</v>
      </c>
      <c r="E231" s="509"/>
      <c r="F231" s="239"/>
      <c r="G231" s="101">
        <v>0</v>
      </c>
      <c r="H231" s="101"/>
      <c r="I231" s="101"/>
      <c r="J231" s="487"/>
      <c r="K231" s="101"/>
      <c r="L231" s="101">
        <v>0</v>
      </c>
      <c r="M231" s="101"/>
      <c r="N231" s="101"/>
      <c r="O231" s="487"/>
      <c r="P231" s="239"/>
      <c r="Q231" s="101">
        <f>SUM(Q232:Q234)</f>
        <v>0</v>
      </c>
      <c r="R231" s="101"/>
      <c r="S231" s="101"/>
      <c r="T231" s="487"/>
      <c r="U231" s="239"/>
      <c r="V231" s="101">
        <v>0</v>
      </c>
      <c r="W231" s="101"/>
      <c r="X231" s="101"/>
      <c r="Y231" s="487"/>
      <c r="Z231" s="239"/>
      <c r="AA231" s="101">
        <v>0</v>
      </c>
      <c r="AB231" s="101"/>
      <c r="AC231" s="101"/>
      <c r="AD231" s="487"/>
      <c r="AE231" s="239"/>
      <c r="AF231" s="101">
        <f>SUM(AF232:AF234)</f>
        <v>0</v>
      </c>
      <c r="AG231" s="101"/>
      <c r="AH231" s="101"/>
      <c r="AI231" s="487"/>
      <c r="AJ231" s="239"/>
      <c r="AK231" s="101">
        <f>SUM(AK232:AK234)</f>
        <v>0</v>
      </c>
      <c r="AL231" s="101"/>
      <c r="AM231" s="101"/>
      <c r="AN231" s="487"/>
      <c r="AO231" s="239"/>
      <c r="AP231" s="101">
        <v>0</v>
      </c>
      <c r="AQ231" s="101"/>
      <c r="AR231" s="101"/>
      <c r="AS231" s="487"/>
      <c r="AT231" s="239"/>
      <c r="AU231" s="101">
        <f>SUM(AU232:AU235)</f>
        <v>0</v>
      </c>
      <c r="AV231" s="101"/>
      <c r="AW231" s="101"/>
      <c r="AX231" s="487"/>
      <c r="AY231" s="239"/>
      <c r="AZ231" s="101">
        <f>SUM(AZ232:AZ234)</f>
        <v>0</v>
      </c>
      <c r="BA231" s="101"/>
      <c r="BB231" s="101"/>
      <c r="BC231" s="487"/>
      <c r="BD231" s="239"/>
      <c r="BE231" s="101">
        <v>0</v>
      </c>
      <c r="BF231" s="101"/>
      <c r="BG231" s="101"/>
      <c r="BH231" s="487"/>
      <c r="BI231" s="239"/>
      <c r="BJ231" s="101">
        <f>SUM(BJ232:BJ234)</f>
        <v>0</v>
      </c>
      <c r="BK231" s="101"/>
      <c r="BL231" s="101"/>
      <c r="BM231" s="487"/>
      <c r="BN231" s="239"/>
      <c r="BO231" s="101">
        <v>0</v>
      </c>
      <c r="BP231" s="101"/>
      <c r="BQ231" s="101"/>
      <c r="BR231" s="487"/>
      <c r="BS231" s="239"/>
      <c r="BT231" s="101">
        <f>SUM(BT232:BT235)</f>
        <v>0</v>
      </c>
      <c r="BU231" s="101"/>
      <c r="BV231" s="101"/>
      <c r="BW231" s="398"/>
      <c r="BZ231" s="411"/>
      <c r="CA231" s="411"/>
    </row>
    <row r="232" spans="1:79" ht="12.75" customHeight="1" x14ac:dyDescent="0.3">
      <c r="A232" s="388"/>
      <c r="B232" s="388"/>
      <c r="D232" s="398" t="s">
        <v>373</v>
      </c>
      <c r="E232" s="509"/>
      <c r="F232" s="412"/>
      <c r="G232" s="485">
        <v>0</v>
      </c>
      <c r="H232" s="486"/>
      <c r="I232" s="101"/>
      <c r="J232" s="487"/>
      <c r="K232" s="488"/>
      <c r="L232" s="485">
        <v>0</v>
      </c>
      <c r="M232" s="486"/>
      <c r="N232" s="101"/>
      <c r="O232" s="487"/>
      <c r="P232" s="488"/>
      <c r="Q232" s="485">
        <v>0</v>
      </c>
      <c r="R232" s="486"/>
      <c r="S232" s="101"/>
      <c r="T232" s="487"/>
      <c r="U232" s="510"/>
      <c r="V232" s="485">
        <v>0</v>
      </c>
      <c r="W232" s="486"/>
      <c r="X232" s="101"/>
      <c r="Y232" s="487"/>
      <c r="Z232" s="510"/>
      <c r="AA232" s="485">
        <v>0</v>
      </c>
      <c r="AB232" s="486"/>
      <c r="AC232" s="101"/>
      <c r="AD232" s="487"/>
      <c r="AE232" s="510"/>
      <c r="AF232" s="485">
        <v>0</v>
      </c>
      <c r="AG232" s="486"/>
      <c r="AH232" s="101"/>
      <c r="AI232" s="487"/>
      <c r="AJ232" s="510"/>
      <c r="AK232" s="485">
        <v>0</v>
      </c>
      <c r="AL232" s="486"/>
      <c r="AM232" s="101"/>
      <c r="AN232" s="487"/>
      <c r="AO232" s="510"/>
      <c r="AP232" s="485">
        <v>0</v>
      </c>
      <c r="AQ232" s="486"/>
      <c r="AR232" s="101"/>
      <c r="AS232" s="487"/>
      <c r="AT232" s="412"/>
      <c r="AU232" s="485">
        <v>0</v>
      </c>
      <c r="AV232" s="486"/>
      <c r="AW232" s="101"/>
      <c r="AX232" s="487"/>
      <c r="AY232" s="412"/>
      <c r="AZ232" s="485">
        <v>0</v>
      </c>
      <c r="BA232" s="486"/>
      <c r="BB232" s="101"/>
      <c r="BC232" s="487"/>
      <c r="BD232" s="412"/>
      <c r="BE232" s="485">
        <v>0</v>
      </c>
      <c r="BF232" s="486"/>
      <c r="BG232" s="101"/>
      <c r="BH232" s="487"/>
      <c r="BI232" s="412"/>
      <c r="BJ232" s="485">
        <v>0</v>
      </c>
      <c r="BK232" s="486"/>
      <c r="BL232" s="101"/>
      <c r="BM232" s="487"/>
      <c r="BN232" s="412"/>
      <c r="BO232" s="485">
        <v>0</v>
      </c>
      <c r="BP232" s="486"/>
      <c r="BQ232" s="101"/>
      <c r="BR232" s="487"/>
      <c r="BS232" s="412"/>
      <c r="BT232" s="485">
        <f>SUM(L232:BO232)</f>
        <v>0</v>
      </c>
      <c r="BU232" s="486"/>
      <c r="BV232" s="101"/>
      <c r="BW232" s="398"/>
      <c r="BZ232" s="411"/>
      <c r="CA232" s="411"/>
    </row>
    <row r="233" spans="1:79" ht="12.75" customHeight="1" x14ac:dyDescent="0.3">
      <c r="A233" s="388"/>
      <c r="B233" s="388"/>
      <c r="D233" s="398" t="s">
        <v>375</v>
      </c>
      <c r="E233" s="509"/>
      <c r="F233" s="404"/>
      <c r="G233" s="101">
        <v>0</v>
      </c>
      <c r="H233" s="49"/>
      <c r="I233" s="101"/>
      <c r="J233" s="487"/>
      <c r="K233" s="487"/>
      <c r="L233" s="101">
        <v>0</v>
      </c>
      <c r="M233" s="49"/>
      <c r="N233" s="101"/>
      <c r="O233" s="487"/>
      <c r="P233" s="487"/>
      <c r="Q233" s="101">
        <v>0</v>
      </c>
      <c r="R233" s="49"/>
      <c r="S233" s="101"/>
      <c r="T233" s="487"/>
      <c r="U233" s="480"/>
      <c r="V233" s="101">
        <v>0</v>
      </c>
      <c r="W233" s="49"/>
      <c r="X233" s="101"/>
      <c r="Y233" s="487"/>
      <c r="Z233" s="480"/>
      <c r="AA233" s="101">
        <v>0</v>
      </c>
      <c r="AB233" s="49"/>
      <c r="AC233" s="101"/>
      <c r="AD233" s="487"/>
      <c r="AE233" s="480"/>
      <c r="AF233" s="101">
        <v>0</v>
      </c>
      <c r="AG233" s="49"/>
      <c r="AH233" s="101"/>
      <c r="AI233" s="487"/>
      <c r="AJ233" s="480"/>
      <c r="AK233" s="101">
        <v>0</v>
      </c>
      <c r="AL233" s="49"/>
      <c r="AM233" s="101"/>
      <c r="AN233" s="487"/>
      <c r="AO233" s="480"/>
      <c r="AP233" s="101">
        <v>0</v>
      </c>
      <c r="AQ233" s="49"/>
      <c r="AR233" s="101"/>
      <c r="AS233" s="487"/>
      <c r="AT233" s="404"/>
      <c r="AU233" s="101">
        <v>0</v>
      </c>
      <c r="AV233" s="49"/>
      <c r="AW233" s="101"/>
      <c r="AX233" s="487"/>
      <c r="AY233" s="404"/>
      <c r="AZ233" s="101">
        <v>0</v>
      </c>
      <c r="BA233" s="49"/>
      <c r="BB233" s="101"/>
      <c r="BC233" s="487"/>
      <c r="BD233" s="404"/>
      <c r="BE233" s="101">
        <v>0</v>
      </c>
      <c r="BF233" s="49"/>
      <c r="BG233" s="101"/>
      <c r="BH233" s="487"/>
      <c r="BI233" s="404"/>
      <c r="BJ233" s="101">
        <v>0</v>
      </c>
      <c r="BK233" s="49"/>
      <c r="BL233" s="101"/>
      <c r="BM233" s="487"/>
      <c r="BN233" s="404"/>
      <c r="BO233" s="101">
        <v>0</v>
      </c>
      <c r="BP233" s="49"/>
      <c r="BQ233" s="101"/>
      <c r="BR233" s="487"/>
      <c r="BS233" s="404"/>
      <c r="BT233" s="101">
        <f>SUM(L233:BO233)</f>
        <v>0</v>
      </c>
      <c r="BU233" s="49"/>
      <c r="BV233" s="101"/>
      <c r="BW233" s="398"/>
      <c r="BZ233" s="411"/>
      <c r="CA233" s="411"/>
    </row>
    <row r="234" spans="1:79" ht="12.75" customHeight="1" x14ac:dyDescent="0.3">
      <c r="A234" s="388"/>
      <c r="B234" s="388"/>
      <c r="D234" s="398" t="s">
        <v>383</v>
      </c>
      <c r="E234" s="509"/>
      <c r="F234" s="427"/>
      <c r="G234" s="496">
        <v>0</v>
      </c>
      <c r="H234" s="90"/>
      <c r="I234" s="101"/>
      <c r="J234" s="487"/>
      <c r="K234" s="497"/>
      <c r="L234" s="496">
        <v>0</v>
      </c>
      <c r="M234" s="90"/>
      <c r="N234" s="101"/>
      <c r="O234" s="487"/>
      <c r="P234" s="497"/>
      <c r="Q234" s="496">
        <v>0</v>
      </c>
      <c r="R234" s="90"/>
      <c r="S234" s="101"/>
      <c r="T234" s="487"/>
      <c r="U234" s="427"/>
      <c r="V234" s="496">
        <v>0</v>
      </c>
      <c r="W234" s="90"/>
      <c r="X234" s="101"/>
      <c r="Y234" s="487"/>
      <c r="Z234" s="427"/>
      <c r="AA234" s="496">
        <v>0</v>
      </c>
      <c r="AB234" s="90"/>
      <c r="AC234" s="101"/>
      <c r="AD234" s="487"/>
      <c r="AE234" s="427"/>
      <c r="AF234" s="496">
        <v>0</v>
      </c>
      <c r="AG234" s="90"/>
      <c r="AH234" s="101"/>
      <c r="AI234" s="487"/>
      <c r="AJ234" s="427"/>
      <c r="AK234" s="496">
        <v>0</v>
      </c>
      <c r="AL234" s="90"/>
      <c r="AM234" s="101"/>
      <c r="AN234" s="487"/>
      <c r="AO234" s="427"/>
      <c r="AP234" s="496">
        <v>0</v>
      </c>
      <c r="AQ234" s="90"/>
      <c r="AR234" s="101"/>
      <c r="AS234" s="487"/>
      <c r="AT234" s="427"/>
      <c r="AU234" s="496">
        <v>0</v>
      </c>
      <c r="AV234" s="90"/>
      <c r="AW234" s="101"/>
      <c r="AX234" s="487"/>
      <c r="AY234" s="427"/>
      <c r="AZ234" s="496">
        <v>0</v>
      </c>
      <c r="BA234" s="90"/>
      <c r="BB234" s="101"/>
      <c r="BC234" s="487"/>
      <c r="BD234" s="427"/>
      <c r="BE234" s="496">
        <v>0</v>
      </c>
      <c r="BF234" s="90"/>
      <c r="BG234" s="101"/>
      <c r="BH234" s="487"/>
      <c r="BI234" s="427"/>
      <c r="BJ234" s="496">
        <v>0</v>
      </c>
      <c r="BK234" s="90"/>
      <c r="BL234" s="101"/>
      <c r="BM234" s="487"/>
      <c r="BN234" s="427"/>
      <c r="BO234" s="496">
        <v>0</v>
      </c>
      <c r="BP234" s="90"/>
      <c r="BQ234" s="101"/>
      <c r="BR234" s="487"/>
      <c r="BS234" s="427"/>
      <c r="BT234" s="496">
        <f>SUM(L234:BO234)</f>
        <v>0</v>
      </c>
      <c r="BU234" s="90"/>
      <c r="BV234" s="101"/>
      <c r="BW234" s="398"/>
      <c r="BZ234" s="411"/>
      <c r="CA234" s="411"/>
    </row>
    <row r="235" spans="1:79" ht="12.75" hidden="1" customHeight="1" x14ac:dyDescent="0.2">
      <c r="A235" s="388"/>
      <c r="B235" s="388"/>
      <c r="D235" s="398" t="s">
        <v>377</v>
      </c>
      <c r="E235" s="509"/>
      <c r="F235" s="512"/>
      <c r="G235" s="496">
        <v>0</v>
      </c>
      <c r="H235" s="90"/>
      <c r="I235" s="101"/>
      <c r="J235" s="487"/>
      <c r="K235" s="512"/>
      <c r="L235" s="496">
        <v>0</v>
      </c>
      <c r="M235" s="90"/>
      <c r="N235" s="101"/>
      <c r="O235" s="487"/>
      <c r="P235" s="512"/>
      <c r="Q235" s="496">
        <v>0</v>
      </c>
      <c r="R235" s="90"/>
      <c r="S235" s="101"/>
      <c r="T235" s="487"/>
      <c r="U235" s="512"/>
      <c r="V235" s="496">
        <v>0</v>
      </c>
      <c r="W235" s="90"/>
      <c r="X235" s="101"/>
      <c r="Y235" s="487"/>
      <c r="Z235" s="512"/>
      <c r="AA235" s="496">
        <v>0</v>
      </c>
      <c r="AB235" s="90"/>
      <c r="AC235" s="101"/>
      <c r="AD235" s="487"/>
      <c r="AE235" s="512"/>
      <c r="AF235" s="496">
        <v>0</v>
      </c>
      <c r="AG235" s="90"/>
      <c r="AH235" s="101"/>
      <c r="AI235" s="487"/>
      <c r="AJ235" s="512"/>
      <c r="AK235" s="496">
        <v>0</v>
      </c>
      <c r="AL235" s="90"/>
      <c r="AM235" s="101"/>
      <c r="AN235" s="487"/>
      <c r="AO235" s="512"/>
      <c r="AP235" s="496">
        <v>0</v>
      </c>
      <c r="AQ235" s="90"/>
      <c r="AR235" s="101"/>
      <c r="AS235" s="487"/>
      <c r="AT235" s="512"/>
      <c r="AU235" s="496">
        <v>0</v>
      </c>
      <c r="AV235" s="90"/>
      <c r="AW235" s="101"/>
      <c r="AX235" s="487"/>
      <c r="AY235" s="512"/>
      <c r="AZ235" s="496">
        <v>0</v>
      </c>
      <c r="BA235" s="90"/>
      <c r="BB235" s="101"/>
      <c r="BC235" s="487"/>
      <c r="BD235" s="512"/>
      <c r="BE235" s="496">
        <v>0</v>
      </c>
      <c r="BF235" s="90"/>
      <c r="BG235" s="101"/>
      <c r="BH235" s="487"/>
      <c r="BI235" s="512"/>
      <c r="BJ235" s="496">
        <v>0</v>
      </c>
      <c r="BK235" s="90"/>
      <c r="BL235" s="101"/>
      <c r="BM235" s="487"/>
      <c r="BN235" s="512"/>
      <c r="BO235" s="496">
        <v>0</v>
      </c>
      <c r="BP235" s="90"/>
      <c r="BQ235" s="101"/>
      <c r="BR235" s="487"/>
      <c r="BS235" s="512"/>
      <c r="BT235" s="496">
        <f>SUM(L235:BO235)</f>
        <v>0</v>
      </c>
      <c r="BU235" s="90"/>
      <c r="BV235" s="101"/>
      <c r="BW235" s="398"/>
      <c r="BZ235" s="411"/>
      <c r="CA235" s="411"/>
    </row>
    <row r="236" spans="1:79" ht="12.75" customHeight="1" x14ac:dyDescent="0.3">
      <c r="A236" s="388"/>
      <c r="B236" s="388"/>
      <c r="D236" s="398"/>
      <c r="E236" s="509"/>
      <c r="F236" s="239"/>
      <c r="G236" s="101"/>
      <c r="H236" s="101"/>
      <c r="I236" s="101"/>
      <c r="J236" s="487"/>
      <c r="K236" s="239"/>
      <c r="L236" s="101"/>
      <c r="M236" s="101"/>
      <c r="N236" s="101"/>
      <c r="O236" s="487"/>
      <c r="P236" s="239"/>
      <c r="Q236" s="101"/>
      <c r="R236" s="101"/>
      <c r="S236" s="101"/>
      <c r="T236" s="487"/>
      <c r="U236" s="239"/>
      <c r="V236" s="101"/>
      <c r="W236" s="101"/>
      <c r="X236" s="101"/>
      <c r="Y236" s="487"/>
      <c r="Z236" s="239"/>
      <c r="AA236" s="101"/>
      <c r="AB236" s="101"/>
      <c r="AC236" s="101"/>
      <c r="AD236" s="487"/>
      <c r="AE236" s="239"/>
      <c r="AF236" s="101"/>
      <c r="AG236" s="101"/>
      <c r="AH236" s="101"/>
      <c r="AI236" s="487"/>
      <c r="AJ236" s="239"/>
      <c r="AK236" s="101"/>
      <c r="AL236" s="101"/>
      <c r="AM236" s="101"/>
      <c r="AN236" s="487"/>
      <c r="AO236" s="239"/>
      <c r="AP236" s="101"/>
      <c r="AQ236" s="101"/>
      <c r="AR236" s="101"/>
      <c r="AS236" s="487"/>
      <c r="AT236" s="239"/>
      <c r="AU236" s="101"/>
      <c r="AV236" s="101"/>
      <c r="AW236" s="101"/>
      <c r="AX236" s="487"/>
      <c r="AY236" s="239"/>
      <c r="AZ236" s="101"/>
      <c r="BA236" s="101"/>
      <c r="BB236" s="101"/>
      <c r="BC236" s="487"/>
      <c r="BD236" s="239"/>
      <c r="BE236" s="101"/>
      <c r="BF236" s="101"/>
      <c r="BG236" s="101"/>
      <c r="BH236" s="487"/>
      <c r="BI236" s="239"/>
      <c r="BJ236" s="101"/>
      <c r="BK236" s="101"/>
      <c r="BL236" s="101"/>
      <c r="BM236" s="487"/>
      <c r="BN236" s="239"/>
      <c r="BO236" s="101"/>
      <c r="BP236" s="101"/>
      <c r="BQ236" s="101"/>
      <c r="BR236" s="487"/>
      <c r="BS236" s="239"/>
      <c r="BT236" s="101"/>
      <c r="BU236" s="101"/>
      <c r="BV236" s="101"/>
      <c r="BW236" s="398"/>
      <c r="BZ236" s="411"/>
      <c r="CA236" s="411"/>
    </row>
    <row r="237" spans="1:79" ht="12.75" customHeight="1" x14ac:dyDescent="0.3">
      <c r="A237" s="388"/>
      <c r="B237" s="388"/>
      <c r="D237" s="398" t="s">
        <v>404</v>
      </c>
      <c r="E237" s="509"/>
      <c r="F237" s="388"/>
      <c r="G237" s="101">
        <f>SUM(G238:G240)</f>
        <v>392138</v>
      </c>
      <c r="H237" s="101"/>
      <c r="I237" s="101"/>
      <c r="J237" s="487"/>
      <c r="K237" s="388"/>
      <c r="L237" s="101">
        <f>SUM(L238:L240)</f>
        <v>0</v>
      </c>
      <c r="M237" s="101"/>
      <c r="N237" s="101"/>
      <c r="O237" s="487"/>
      <c r="P237" s="388"/>
      <c r="Q237" s="101">
        <f>SUM(Q238:Q240)</f>
        <v>0</v>
      </c>
      <c r="R237" s="101"/>
      <c r="S237" s="101"/>
      <c r="T237" s="487"/>
      <c r="U237" s="388"/>
      <c r="V237" s="101">
        <f>SUM(V238:V240)</f>
        <v>0</v>
      </c>
      <c r="W237" s="101"/>
      <c r="X237" s="101"/>
      <c r="Y237" s="487"/>
      <c r="Z237" s="388"/>
      <c r="AA237" s="101">
        <f>SUM(AA238:AA240)</f>
        <v>0</v>
      </c>
      <c r="AB237" s="101"/>
      <c r="AC237" s="101"/>
      <c r="AD237" s="487"/>
      <c r="AE237" s="388"/>
      <c r="AF237" s="101">
        <f>SUM(AF238:AF240)</f>
        <v>0</v>
      </c>
      <c r="AG237" s="101"/>
      <c r="AH237" s="101"/>
      <c r="AI237" s="487"/>
      <c r="AJ237" s="388"/>
      <c r="AK237" s="101">
        <f>SUM(AK238:AK240)</f>
        <v>0</v>
      </c>
      <c r="AL237" s="101"/>
      <c r="AM237" s="101"/>
      <c r="AN237" s="487"/>
      <c r="AO237" s="388"/>
      <c r="AP237" s="101">
        <f>SUM(AP238:AP240)</f>
        <v>0</v>
      </c>
      <c r="AQ237" s="101"/>
      <c r="AR237" s="101"/>
      <c r="AS237" s="487"/>
      <c r="AT237" s="388"/>
      <c r="AU237" s="101">
        <f>SUM(AU238:AU240)</f>
        <v>0</v>
      </c>
      <c r="AV237" s="101"/>
      <c r="AW237" s="101"/>
      <c r="AX237" s="487"/>
      <c r="AY237" s="388"/>
      <c r="AZ237" s="101">
        <f>SUM(AZ238:AZ240)</f>
        <v>0</v>
      </c>
      <c r="BA237" s="101"/>
      <c r="BB237" s="101"/>
      <c r="BC237" s="487"/>
      <c r="BD237" s="388"/>
      <c r="BE237" s="101">
        <f>SUM(BE238:BE240)</f>
        <v>0</v>
      </c>
      <c r="BF237" s="101"/>
      <c r="BG237" s="101"/>
      <c r="BH237" s="487"/>
      <c r="BI237" s="388"/>
      <c r="BJ237" s="101">
        <f>SUM(BJ238:BJ240)</f>
        <v>886572</v>
      </c>
      <c r="BK237" s="101"/>
      <c r="BL237" s="101"/>
      <c r="BM237" s="487"/>
      <c r="BN237" s="388"/>
      <c r="BO237" s="101">
        <f>SUM(BO238:BO240)</f>
        <v>0</v>
      </c>
      <c r="BP237" s="101"/>
      <c r="BQ237" s="101"/>
      <c r="BR237" s="487"/>
      <c r="BS237" s="388"/>
      <c r="BT237" s="101">
        <f>SUM(BT238:BT240)</f>
        <v>886572</v>
      </c>
      <c r="BU237" s="101"/>
      <c r="BV237" s="101"/>
      <c r="BW237" s="398"/>
      <c r="BZ237" s="411"/>
      <c r="CA237" s="411"/>
    </row>
    <row r="238" spans="1:79" ht="12.75" customHeight="1" x14ac:dyDescent="0.3">
      <c r="A238" s="388"/>
      <c r="B238" s="388"/>
      <c r="D238" s="398" t="s">
        <v>373</v>
      </c>
      <c r="E238" s="509"/>
      <c r="F238" s="412"/>
      <c r="G238" s="485">
        <f>392138-63848</f>
        <v>328290</v>
      </c>
      <c r="H238" s="486"/>
      <c r="I238" s="101"/>
      <c r="J238" s="487"/>
      <c r="K238" s="412"/>
      <c r="L238" s="485">
        <v>0</v>
      </c>
      <c r="M238" s="486"/>
      <c r="N238" s="101"/>
      <c r="O238" s="487"/>
      <c r="P238" s="412"/>
      <c r="Q238" s="485">
        <v>0</v>
      </c>
      <c r="R238" s="486"/>
      <c r="S238" s="101"/>
      <c r="T238" s="487"/>
      <c r="U238" s="412"/>
      <c r="V238" s="485">
        <v>0</v>
      </c>
      <c r="W238" s="486"/>
      <c r="X238" s="101"/>
      <c r="Y238" s="487"/>
      <c r="Z238" s="412"/>
      <c r="AA238" s="485">
        <v>0</v>
      </c>
      <c r="AB238" s="486"/>
      <c r="AC238" s="101"/>
      <c r="AD238" s="487"/>
      <c r="AE238" s="412"/>
      <c r="AF238" s="485">
        <v>0</v>
      </c>
      <c r="AG238" s="486"/>
      <c r="AH238" s="101"/>
      <c r="AI238" s="487"/>
      <c r="AJ238" s="412"/>
      <c r="AK238" s="485">
        <v>0</v>
      </c>
      <c r="AL238" s="486"/>
      <c r="AM238" s="101"/>
      <c r="AN238" s="487"/>
      <c r="AO238" s="412"/>
      <c r="AP238" s="485">
        <v>0</v>
      </c>
      <c r="AQ238" s="486"/>
      <c r="AR238" s="101"/>
      <c r="AS238" s="487"/>
      <c r="AT238" s="412"/>
      <c r="AU238" s="485">
        <v>0</v>
      </c>
      <c r="AV238" s="486"/>
      <c r="AW238" s="101"/>
      <c r="AX238" s="487"/>
      <c r="AY238" s="412"/>
      <c r="AZ238" s="485">
        <v>0</v>
      </c>
      <c r="BA238" s="486"/>
      <c r="BB238" s="101"/>
      <c r="BC238" s="487"/>
      <c r="BD238" s="412"/>
      <c r="BE238" s="485">
        <v>0</v>
      </c>
      <c r="BF238" s="486"/>
      <c r="BG238" s="101"/>
      <c r="BH238" s="487"/>
      <c r="BI238" s="412"/>
      <c r="BJ238" s="485">
        <f>886572-138957</f>
        <v>747615</v>
      </c>
      <c r="BK238" s="486"/>
      <c r="BL238" s="101"/>
      <c r="BM238" s="487"/>
      <c r="BN238" s="412"/>
      <c r="BO238" s="485">
        <v>0</v>
      </c>
      <c r="BP238" s="486"/>
      <c r="BQ238" s="101"/>
      <c r="BR238" s="487"/>
      <c r="BS238" s="412"/>
      <c r="BT238" s="485">
        <f>SUM(L238:BO238)</f>
        <v>747615</v>
      </c>
      <c r="BU238" s="486"/>
      <c r="BV238" s="101"/>
      <c r="BW238" s="398"/>
      <c r="BZ238" s="411"/>
      <c r="CA238" s="411"/>
    </row>
    <row r="239" spans="1:79" ht="12.75" customHeight="1" x14ac:dyDescent="0.3">
      <c r="A239" s="388"/>
      <c r="B239" s="388"/>
      <c r="D239" s="398" t="s">
        <v>375</v>
      </c>
      <c r="E239" s="509"/>
      <c r="F239" s="404"/>
      <c r="G239" s="101">
        <v>63848</v>
      </c>
      <c r="H239" s="49"/>
      <c r="I239" s="101"/>
      <c r="J239" s="487"/>
      <c r="K239" s="404"/>
      <c r="L239" s="101">
        <v>0</v>
      </c>
      <c r="M239" s="49"/>
      <c r="N239" s="101"/>
      <c r="O239" s="487"/>
      <c r="P239" s="404"/>
      <c r="Q239" s="101">
        <v>0</v>
      </c>
      <c r="R239" s="49"/>
      <c r="S239" s="101"/>
      <c r="T239" s="487"/>
      <c r="U239" s="404"/>
      <c r="V239" s="101">
        <v>0</v>
      </c>
      <c r="W239" s="49"/>
      <c r="X239" s="101"/>
      <c r="Y239" s="487"/>
      <c r="Z239" s="404"/>
      <c r="AA239" s="101">
        <v>0</v>
      </c>
      <c r="AB239" s="49"/>
      <c r="AC239" s="101"/>
      <c r="AD239" s="487"/>
      <c r="AE239" s="404"/>
      <c r="AF239" s="101">
        <v>0</v>
      </c>
      <c r="AG239" s="49"/>
      <c r="AH239" s="101"/>
      <c r="AI239" s="487"/>
      <c r="AJ239" s="404"/>
      <c r="AK239" s="101">
        <v>0</v>
      </c>
      <c r="AL239" s="49"/>
      <c r="AM239" s="101"/>
      <c r="AN239" s="487"/>
      <c r="AO239" s="404"/>
      <c r="AP239" s="101">
        <v>0</v>
      </c>
      <c r="AQ239" s="49"/>
      <c r="AR239" s="101"/>
      <c r="AS239" s="487"/>
      <c r="AT239" s="404"/>
      <c r="AU239" s="101">
        <v>0</v>
      </c>
      <c r="AV239" s="49"/>
      <c r="AW239" s="101"/>
      <c r="AX239" s="487"/>
      <c r="AY239" s="404"/>
      <c r="AZ239" s="101">
        <v>0</v>
      </c>
      <c r="BA239" s="49"/>
      <c r="BB239" s="101"/>
      <c r="BC239" s="487"/>
      <c r="BD239" s="404"/>
      <c r="BE239" s="101">
        <v>0</v>
      </c>
      <c r="BF239" s="49"/>
      <c r="BG239" s="101"/>
      <c r="BH239" s="487"/>
      <c r="BI239" s="404"/>
      <c r="BJ239" s="101">
        <v>138957</v>
      </c>
      <c r="BK239" s="49"/>
      <c r="BL239" s="101"/>
      <c r="BM239" s="487"/>
      <c r="BN239" s="404"/>
      <c r="BO239" s="101">
        <v>0</v>
      </c>
      <c r="BP239" s="49"/>
      <c r="BQ239" s="101"/>
      <c r="BR239" s="487"/>
      <c r="BS239" s="404"/>
      <c r="BT239" s="101">
        <f>SUM(L239:BO239)</f>
        <v>138957</v>
      </c>
      <c r="BU239" s="49"/>
      <c r="BV239" s="101"/>
      <c r="BW239" s="398"/>
      <c r="BZ239" s="411"/>
      <c r="CA239" s="411"/>
    </row>
    <row r="240" spans="1:79" ht="12.75" customHeight="1" x14ac:dyDescent="0.3">
      <c r="A240" s="388"/>
      <c r="B240" s="388"/>
      <c r="D240" s="398" t="s">
        <v>383</v>
      </c>
      <c r="E240" s="509"/>
      <c r="F240" s="427"/>
      <c r="G240" s="496">
        <v>0</v>
      </c>
      <c r="H240" s="90"/>
      <c r="I240" s="101"/>
      <c r="J240" s="487"/>
      <c r="K240" s="427"/>
      <c r="L240" s="496">
        <v>0</v>
      </c>
      <c r="M240" s="90"/>
      <c r="N240" s="101"/>
      <c r="O240" s="487"/>
      <c r="P240" s="427"/>
      <c r="Q240" s="496">
        <v>0</v>
      </c>
      <c r="R240" s="90"/>
      <c r="S240" s="101"/>
      <c r="T240" s="487"/>
      <c r="U240" s="427"/>
      <c r="V240" s="496">
        <v>0</v>
      </c>
      <c r="W240" s="90"/>
      <c r="X240" s="101"/>
      <c r="Y240" s="487"/>
      <c r="Z240" s="427"/>
      <c r="AA240" s="496">
        <v>0</v>
      </c>
      <c r="AB240" s="90"/>
      <c r="AC240" s="101"/>
      <c r="AD240" s="487"/>
      <c r="AE240" s="427"/>
      <c r="AF240" s="496">
        <v>0</v>
      </c>
      <c r="AG240" s="90"/>
      <c r="AH240" s="101"/>
      <c r="AI240" s="487"/>
      <c r="AJ240" s="427"/>
      <c r="AK240" s="496">
        <v>0</v>
      </c>
      <c r="AL240" s="90"/>
      <c r="AM240" s="101"/>
      <c r="AN240" s="487"/>
      <c r="AO240" s="427"/>
      <c r="AP240" s="496">
        <v>0</v>
      </c>
      <c r="AQ240" s="90"/>
      <c r="AR240" s="101"/>
      <c r="AS240" s="487"/>
      <c r="AT240" s="427"/>
      <c r="AU240" s="496">
        <v>0</v>
      </c>
      <c r="AV240" s="90"/>
      <c r="AW240" s="101"/>
      <c r="AX240" s="487"/>
      <c r="AY240" s="427"/>
      <c r="AZ240" s="496">
        <v>0</v>
      </c>
      <c r="BA240" s="90"/>
      <c r="BB240" s="101"/>
      <c r="BC240" s="487"/>
      <c r="BD240" s="427"/>
      <c r="BE240" s="496">
        <v>0</v>
      </c>
      <c r="BF240" s="90"/>
      <c r="BG240" s="101"/>
      <c r="BH240" s="487"/>
      <c r="BI240" s="427"/>
      <c r="BJ240" s="496">
        <v>0</v>
      </c>
      <c r="BK240" s="90"/>
      <c r="BL240" s="101"/>
      <c r="BM240" s="487"/>
      <c r="BN240" s="427"/>
      <c r="BO240" s="496">
        <v>0</v>
      </c>
      <c r="BP240" s="90"/>
      <c r="BQ240" s="101"/>
      <c r="BR240" s="487"/>
      <c r="BS240" s="427"/>
      <c r="BT240" s="496">
        <f>SUM(L240:BO240)</f>
        <v>0</v>
      </c>
      <c r="BU240" s="90"/>
      <c r="BV240" s="101"/>
      <c r="BW240" s="398"/>
      <c r="BZ240" s="411"/>
      <c r="CA240" s="411"/>
    </row>
    <row r="241" spans="1:79" ht="12.75" customHeight="1" x14ac:dyDescent="0.3">
      <c r="A241" s="388"/>
      <c r="B241" s="388"/>
      <c r="D241" s="398"/>
      <c r="E241" s="509"/>
      <c r="F241" s="388"/>
      <c r="G241" s="101"/>
      <c r="H241" s="101"/>
      <c r="I241" s="101"/>
      <c r="J241" s="487"/>
      <c r="K241" s="388"/>
      <c r="L241" s="101"/>
      <c r="M241" s="101"/>
      <c r="N241" s="101"/>
      <c r="O241" s="487"/>
      <c r="P241" s="388"/>
      <c r="Q241" s="101"/>
      <c r="R241" s="101"/>
      <c r="S241" s="101"/>
      <c r="T241" s="487"/>
      <c r="U241" s="388"/>
      <c r="V241" s="101"/>
      <c r="W241" s="101"/>
      <c r="X241" s="101"/>
      <c r="Y241" s="487"/>
      <c r="Z241" s="388"/>
      <c r="AA241" s="101"/>
      <c r="AB241" s="101"/>
      <c r="AC241" s="101"/>
      <c r="AD241" s="487"/>
      <c r="AE241" s="388"/>
      <c r="AF241" s="101"/>
      <c r="AG241" s="101"/>
      <c r="AH241" s="101"/>
      <c r="AI241" s="487"/>
      <c r="AJ241" s="388"/>
      <c r="AK241" s="101"/>
      <c r="AL241" s="101"/>
      <c r="AM241" s="101"/>
      <c r="AN241" s="487"/>
      <c r="AO241" s="388"/>
      <c r="AP241" s="101"/>
      <c r="AQ241" s="101"/>
      <c r="AR241" s="101"/>
      <c r="AS241" s="487"/>
      <c r="AT241" s="388"/>
      <c r="AU241" s="101"/>
      <c r="AV241" s="101"/>
      <c r="AW241" s="101"/>
      <c r="AX241" s="487"/>
      <c r="AY241" s="388"/>
      <c r="AZ241" s="101"/>
      <c r="BA241" s="101"/>
      <c r="BB241" s="101"/>
      <c r="BC241" s="487"/>
      <c r="BD241" s="388"/>
      <c r="BE241" s="101"/>
      <c r="BF241" s="101"/>
      <c r="BG241" s="101"/>
      <c r="BH241" s="487"/>
      <c r="BI241" s="388"/>
      <c r="BJ241" s="101"/>
      <c r="BK241" s="101"/>
      <c r="BL241" s="101"/>
      <c r="BM241" s="487"/>
      <c r="BN241" s="388"/>
      <c r="BO241" s="101"/>
      <c r="BP241" s="101"/>
      <c r="BQ241" s="101"/>
      <c r="BR241" s="487"/>
      <c r="BS241" s="388"/>
      <c r="BT241" s="101"/>
      <c r="BU241" s="101"/>
      <c r="BV241" s="101"/>
      <c r="BW241" s="398"/>
      <c r="BZ241" s="411"/>
      <c r="CA241" s="411"/>
    </row>
    <row r="242" spans="1:79" ht="12.75" customHeight="1" x14ac:dyDescent="0.3">
      <c r="A242" s="388"/>
      <c r="B242" s="388"/>
      <c r="D242" s="398" t="s">
        <v>382</v>
      </c>
      <c r="F242" s="388"/>
      <c r="G242" s="101">
        <f>SUM(G243:G245)</f>
        <v>832096</v>
      </c>
      <c r="H242" s="101"/>
      <c r="I242" s="101"/>
      <c r="J242" s="487"/>
      <c r="K242" s="101"/>
      <c r="L242" s="101">
        <f>SUM(L243:L245)</f>
        <v>0</v>
      </c>
      <c r="M242" s="101"/>
      <c r="N242" s="101"/>
      <c r="O242" s="487"/>
      <c r="P242" s="101"/>
      <c r="Q242" s="101">
        <f>SUM(Q243:Q245)</f>
        <v>0</v>
      </c>
      <c r="R242" s="101"/>
      <c r="S242" s="101"/>
      <c r="T242" s="487"/>
      <c r="U242" s="101"/>
      <c r="V242" s="101">
        <f>SUM(V243:V245)</f>
        <v>0</v>
      </c>
      <c r="W242" s="101"/>
      <c r="X242" s="101"/>
      <c r="Y242" s="487"/>
      <c r="Z242" s="101"/>
      <c r="AA242" s="101">
        <f>SUM(AA243:AA245)</f>
        <v>0</v>
      </c>
      <c r="AB242" s="101"/>
      <c r="AC242" s="101"/>
      <c r="AD242" s="487"/>
      <c r="AE242" s="101"/>
      <c r="AF242" s="101">
        <f>SUM(AF243:AF245)</f>
        <v>0</v>
      </c>
      <c r="AG242" s="101"/>
      <c r="AH242" s="101"/>
      <c r="AI242" s="487"/>
      <c r="AJ242" s="101"/>
      <c r="AK242" s="101">
        <f>SUM(AK243:AK245)</f>
        <v>0</v>
      </c>
      <c r="AL242" s="101"/>
      <c r="AM242" s="101"/>
      <c r="AN242" s="487"/>
      <c r="AO242" s="101"/>
      <c r="AP242" s="101">
        <f>SUM(AP243:AP245)</f>
        <v>0</v>
      </c>
      <c r="AQ242" s="101"/>
      <c r="AR242" s="101"/>
      <c r="AS242" s="487"/>
      <c r="AT242" s="101"/>
      <c r="AU242" s="101">
        <f>SUM(AU243:AU245)</f>
        <v>0</v>
      </c>
      <c r="AV242" s="101"/>
      <c r="AW242" s="101"/>
      <c r="AX242" s="487"/>
      <c r="AY242" s="101"/>
      <c r="AZ242" s="101">
        <f>SUM(AZ243:AZ245)</f>
        <v>0</v>
      </c>
      <c r="BA242" s="101"/>
      <c r="BB242" s="101"/>
      <c r="BC242" s="487"/>
      <c r="BD242" s="101"/>
      <c r="BE242" s="101">
        <f>SUM(BE243:BE245)</f>
        <v>0</v>
      </c>
      <c r="BF242" s="101"/>
      <c r="BG242" s="101"/>
      <c r="BH242" s="487"/>
      <c r="BI242" s="101"/>
      <c r="BJ242" s="101">
        <f>SUM(BJ243:BJ245)</f>
        <v>832096</v>
      </c>
      <c r="BK242" s="101"/>
      <c r="BL242" s="101"/>
      <c r="BM242" s="487"/>
      <c r="BN242" s="101"/>
      <c r="BO242" s="101">
        <f>SUM(BO243:BO245)</f>
        <v>0</v>
      </c>
      <c r="BP242" s="101"/>
      <c r="BQ242" s="101"/>
      <c r="BR242" s="487"/>
      <c r="BS242" s="101"/>
      <c r="BT242" s="101">
        <f>SUM(BT243:BT245)</f>
        <v>832096</v>
      </c>
      <c r="BU242" s="101"/>
      <c r="BV242" s="101"/>
      <c r="BW242" s="398"/>
      <c r="BZ242" s="411"/>
      <c r="CA242" s="411"/>
    </row>
    <row r="243" spans="1:79" ht="12.75" customHeight="1" x14ac:dyDescent="0.3">
      <c r="A243" s="388"/>
      <c r="B243" s="388"/>
      <c r="D243" s="398" t="s">
        <v>373</v>
      </c>
      <c r="F243" s="412"/>
      <c r="G243" s="485">
        <f>832096-97020</f>
        <v>735076</v>
      </c>
      <c r="H243" s="486"/>
      <c r="I243" s="101"/>
      <c r="J243" s="487"/>
      <c r="K243" s="488"/>
      <c r="L243" s="485">
        <v>0</v>
      </c>
      <c r="M243" s="486"/>
      <c r="N243" s="101"/>
      <c r="O243" s="487"/>
      <c r="P243" s="488"/>
      <c r="Q243" s="485">
        <v>0</v>
      </c>
      <c r="R243" s="486"/>
      <c r="S243" s="101"/>
      <c r="T243" s="487"/>
      <c r="U243" s="488"/>
      <c r="V243" s="485">
        <v>0</v>
      </c>
      <c r="W243" s="486"/>
      <c r="X243" s="101"/>
      <c r="Y243" s="487"/>
      <c r="Z243" s="488"/>
      <c r="AA243" s="485">
        <v>0</v>
      </c>
      <c r="AB243" s="486"/>
      <c r="AC243" s="101"/>
      <c r="AD243" s="487"/>
      <c r="AE243" s="488"/>
      <c r="AF243" s="485">
        <v>0</v>
      </c>
      <c r="AG243" s="486"/>
      <c r="AH243" s="101"/>
      <c r="AI243" s="487"/>
      <c r="AJ243" s="488"/>
      <c r="AK243" s="485">
        <v>0</v>
      </c>
      <c r="AL243" s="486"/>
      <c r="AM243" s="101"/>
      <c r="AN243" s="487"/>
      <c r="AO243" s="488"/>
      <c r="AP243" s="485">
        <v>0</v>
      </c>
      <c r="AQ243" s="486"/>
      <c r="AR243" s="101"/>
      <c r="AS243" s="487"/>
      <c r="AT243" s="488"/>
      <c r="AU243" s="485">
        <v>0</v>
      </c>
      <c r="AV243" s="486"/>
      <c r="AW243" s="101"/>
      <c r="AX243" s="487"/>
      <c r="AY243" s="488"/>
      <c r="AZ243" s="485">
        <v>0</v>
      </c>
      <c r="BA243" s="486"/>
      <c r="BB243" s="101"/>
      <c r="BC243" s="487"/>
      <c r="BD243" s="488"/>
      <c r="BE243" s="485">
        <v>0</v>
      </c>
      <c r="BF243" s="486"/>
      <c r="BG243" s="101"/>
      <c r="BH243" s="487"/>
      <c r="BI243" s="488"/>
      <c r="BJ243" s="485">
        <f>832096-97020</f>
        <v>735076</v>
      </c>
      <c r="BK243" s="486"/>
      <c r="BL243" s="101"/>
      <c r="BM243" s="487"/>
      <c r="BN243" s="488"/>
      <c r="BO243" s="485">
        <v>0</v>
      </c>
      <c r="BP243" s="486"/>
      <c r="BQ243" s="101"/>
      <c r="BR243" s="487"/>
      <c r="BS243" s="488"/>
      <c r="BT243" s="485">
        <f>SUM(L243:BO243)</f>
        <v>735076</v>
      </c>
      <c r="BU243" s="486"/>
      <c r="BV243" s="101"/>
      <c r="BW243" s="398"/>
      <c r="BZ243" s="411"/>
      <c r="CA243" s="411"/>
    </row>
    <row r="244" spans="1:79" ht="12.75" customHeight="1" x14ac:dyDescent="0.3">
      <c r="A244" s="388"/>
      <c r="B244" s="388"/>
      <c r="D244" s="398" t="s">
        <v>375</v>
      </c>
      <c r="F244" s="404"/>
      <c r="G244" s="101">
        <v>97020</v>
      </c>
      <c r="H244" s="49"/>
      <c r="I244" s="101"/>
      <c r="J244" s="487"/>
      <c r="K244" s="487"/>
      <c r="L244" s="101">
        <v>0</v>
      </c>
      <c r="M244" s="49"/>
      <c r="N244" s="101"/>
      <c r="O244" s="487"/>
      <c r="P244" s="487"/>
      <c r="Q244" s="101">
        <v>0</v>
      </c>
      <c r="R244" s="49"/>
      <c r="S244" s="101"/>
      <c r="T244" s="487"/>
      <c r="U244" s="487"/>
      <c r="V244" s="101">
        <v>0</v>
      </c>
      <c r="W244" s="49"/>
      <c r="X244" s="101"/>
      <c r="Y244" s="487"/>
      <c r="Z244" s="487"/>
      <c r="AA244" s="101">
        <v>0</v>
      </c>
      <c r="AB244" s="49"/>
      <c r="AC244" s="101"/>
      <c r="AD244" s="487"/>
      <c r="AE244" s="487"/>
      <c r="AF244" s="101">
        <v>0</v>
      </c>
      <c r="AG244" s="49"/>
      <c r="AH244" s="101"/>
      <c r="AI244" s="487"/>
      <c r="AJ244" s="487"/>
      <c r="AK244" s="101">
        <v>0</v>
      </c>
      <c r="AL244" s="49"/>
      <c r="AM244" s="101"/>
      <c r="AN244" s="487"/>
      <c r="AO244" s="487"/>
      <c r="AP244" s="101">
        <v>0</v>
      </c>
      <c r="AQ244" s="49"/>
      <c r="AR244" s="101"/>
      <c r="AS244" s="487"/>
      <c r="AT244" s="487"/>
      <c r="AU244" s="101">
        <v>0</v>
      </c>
      <c r="AV244" s="49"/>
      <c r="AW244" s="101"/>
      <c r="AX244" s="487"/>
      <c r="AY244" s="487"/>
      <c r="AZ244" s="101">
        <v>0</v>
      </c>
      <c r="BA244" s="49"/>
      <c r="BB244" s="101"/>
      <c r="BC244" s="487"/>
      <c r="BD244" s="487"/>
      <c r="BE244" s="101">
        <v>0</v>
      </c>
      <c r="BF244" s="49"/>
      <c r="BG244" s="101"/>
      <c r="BH244" s="487"/>
      <c r="BI244" s="487"/>
      <c r="BJ244" s="101">
        <v>97020</v>
      </c>
      <c r="BK244" s="49"/>
      <c r="BL244" s="101"/>
      <c r="BM244" s="487"/>
      <c r="BN244" s="487"/>
      <c r="BO244" s="101">
        <v>0</v>
      </c>
      <c r="BP244" s="49"/>
      <c r="BQ244" s="101"/>
      <c r="BR244" s="487"/>
      <c r="BS244" s="487"/>
      <c r="BT244" s="101">
        <f>SUM(L244:BO244)</f>
        <v>97020</v>
      </c>
      <c r="BU244" s="49"/>
      <c r="BV244" s="101"/>
      <c r="BW244" s="398"/>
      <c r="BZ244" s="411"/>
      <c r="CA244" s="411"/>
    </row>
    <row r="245" spans="1:79" ht="12.75" customHeight="1" x14ac:dyDescent="0.3">
      <c r="A245" s="388"/>
      <c r="B245" s="388"/>
      <c r="D245" s="398" t="s">
        <v>383</v>
      </c>
      <c r="F245" s="427"/>
      <c r="G245" s="496">
        <v>0</v>
      </c>
      <c r="H245" s="90"/>
      <c r="I245" s="101"/>
      <c r="J245" s="487"/>
      <c r="K245" s="497"/>
      <c r="L245" s="496">
        <v>0</v>
      </c>
      <c r="M245" s="90"/>
      <c r="N245" s="101"/>
      <c r="O245" s="487"/>
      <c r="P245" s="497"/>
      <c r="Q245" s="496">
        <v>0</v>
      </c>
      <c r="R245" s="90"/>
      <c r="S245" s="101"/>
      <c r="T245" s="487"/>
      <c r="U245" s="497"/>
      <c r="V245" s="496">
        <v>0</v>
      </c>
      <c r="W245" s="90"/>
      <c r="X245" s="101"/>
      <c r="Y245" s="487"/>
      <c r="Z245" s="497"/>
      <c r="AA245" s="496">
        <v>0</v>
      </c>
      <c r="AB245" s="90"/>
      <c r="AC245" s="101"/>
      <c r="AD245" s="487"/>
      <c r="AE245" s="497"/>
      <c r="AF245" s="496">
        <v>0</v>
      </c>
      <c r="AG245" s="90"/>
      <c r="AH245" s="101"/>
      <c r="AI245" s="487"/>
      <c r="AJ245" s="497"/>
      <c r="AK245" s="496">
        <v>0</v>
      </c>
      <c r="AL245" s="90"/>
      <c r="AM245" s="101"/>
      <c r="AN245" s="487"/>
      <c r="AO245" s="497"/>
      <c r="AP245" s="496">
        <v>0</v>
      </c>
      <c r="AQ245" s="90"/>
      <c r="AR245" s="101"/>
      <c r="AS245" s="487"/>
      <c r="AT245" s="497"/>
      <c r="AU245" s="496">
        <v>0</v>
      </c>
      <c r="AV245" s="90"/>
      <c r="AW245" s="101"/>
      <c r="AX245" s="487"/>
      <c r="AY245" s="497"/>
      <c r="AZ245" s="496">
        <v>0</v>
      </c>
      <c r="BA245" s="90"/>
      <c r="BB245" s="101"/>
      <c r="BC245" s="487"/>
      <c r="BD245" s="497"/>
      <c r="BE245" s="496">
        <v>0</v>
      </c>
      <c r="BF245" s="90"/>
      <c r="BG245" s="101"/>
      <c r="BH245" s="487"/>
      <c r="BI245" s="497"/>
      <c r="BJ245" s="496">
        <v>0</v>
      </c>
      <c r="BK245" s="90"/>
      <c r="BL245" s="101"/>
      <c r="BM245" s="487"/>
      <c r="BN245" s="497"/>
      <c r="BO245" s="496">
        <v>0</v>
      </c>
      <c r="BP245" s="90"/>
      <c r="BQ245" s="101"/>
      <c r="BR245" s="487"/>
      <c r="BS245" s="497"/>
      <c r="BT245" s="496">
        <f>SUM(L245:BO245)</f>
        <v>0</v>
      </c>
      <c r="BU245" s="90"/>
      <c r="BV245" s="101"/>
      <c r="BW245" s="398"/>
      <c r="BZ245" s="411"/>
      <c r="CA245" s="411"/>
    </row>
    <row r="246" spans="1:79" ht="12.75" customHeight="1" x14ac:dyDescent="0.3">
      <c r="A246" s="388"/>
      <c r="B246" s="388"/>
      <c r="D246" s="398"/>
      <c r="E246" s="509"/>
      <c r="F246" s="388"/>
      <c r="G246" s="101"/>
      <c r="H246" s="101"/>
      <c r="I246" s="101"/>
      <c r="J246" s="487"/>
      <c r="K246" s="388"/>
      <c r="L246" s="101"/>
      <c r="M246" s="101"/>
      <c r="N246" s="101"/>
      <c r="O246" s="487"/>
      <c r="P246" s="388"/>
      <c r="Q246" s="101"/>
      <c r="R246" s="101"/>
      <c r="S246" s="101"/>
      <c r="T246" s="487"/>
      <c r="U246" s="388"/>
      <c r="V246" s="101"/>
      <c r="W246" s="101"/>
      <c r="X246" s="101"/>
      <c r="Y246" s="487"/>
      <c r="Z246" s="388"/>
      <c r="AA246" s="101"/>
      <c r="AB246" s="101"/>
      <c r="AC246" s="101"/>
      <c r="AD246" s="487"/>
      <c r="AE246" s="388"/>
      <c r="AF246" s="101"/>
      <c r="AG246" s="101"/>
      <c r="AH246" s="101"/>
      <c r="AI246" s="487"/>
      <c r="AJ246" s="388"/>
      <c r="AK246" s="101"/>
      <c r="AL246" s="101"/>
      <c r="AM246" s="101"/>
      <c r="AN246" s="487"/>
      <c r="AO246" s="388"/>
      <c r="AP246" s="101"/>
      <c r="AQ246" s="101"/>
      <c r="AR246" s="101"/>
      <c r="AS246" s="487"/>
      <c r="AT246" s="388"/>
      <c r="AU246" s="101"/>
      <c r="AV246" s="101"/>
      <c r="AW246" s="101"/>
      <c r="AX246" s="487"/>
      <c r="AY246" s="388"/>
      <c r="AZ246" s="101"/>
      <c r="BA246" s="101"/>
      <c r="BB246" s="101"/>
      <c r="BC246" s="487"/>
      <c r="BD246" s="388"/>
      <c r="BE246" s="101"/>
      <c r="BF246" s="101"/>
      <c r="BG246" s="101"/>
      <c r="BH246" s="487"/>
      <c r="BI246" s="388"/>
      <c r="BJ246" s="101"/>
      <c r="BK246" s="101"/>
      <c r="BL246" s="101"/>
      <c r="BM246" s="487"/>
      <c r="BN246" s="388"/>
      <c r="BO246" s="101"/>
      <c r="BP246" s="101"/>
      <c r="BQ246" s="101"/>
      <c r="BR246" s="487"/>
      <c r="BS246" s="388"/>
      <c r="BT246" s="101"/>
      <c r="BU246" s="101"/>
      <c r="BV246" s="101"/>
      <c r="BW246" s="398"/>
      <c r="BZ246" s="411"/>
      <c r="CA246" s="411"/>
    </row>
    <row r="247" spans="1:79" ht="12.75" customHeight="1" x14ac:dyDescent="0.3">
      <c r="A247" s="388"/>
      <c r="B247" s="388"/>
      <c r="D247" s="398" t="s">
        <v>399</v>
      </c>
      <c r="F247" s="388"/>
      <c r="G247" s="101">
        <f>SUM(G248:G250)</f>
        <v>384517</v>
      </c>
      <c r="H247" s="101"/>
      <c r="I247" s="101"/>
      <c r="J247" s="487"/>
      <c r="K247" s="101"/>
      <c r="L247" s="101">
        <f>SUM(L248:L250)</f>
        <v>0</v>
      </c>
      <c r="M247" s="101"/>
      <c r="N247" s="101"/>
      <c r="O247" s="487"/>
      <c r="P247" s="101"/>
      <c r="Q247" s="101">
        <f>SUM(Q248:Q250)</f>
        <v>0</v>
      </c>
      <c r="R247" s="101"/>
      <c r="S247" s="101"/>
      <c r="T247" s="487"/>
      <c r="U247" s="101"/>
      <c r="V247" s="101">
        <f>SUM(V248:V250)</f>
        <v>0</v>
      </c>
      <c r="W247" s="101"/>
      <c r="X247" s="101"/>
      <c r="Y247" s="487"/>
      <c r="Z247" s="101"/>
      <c r="AA247" s="101">
        <f>SUM(AA248:AA250)</f>
        <v>0</v>
      </c>
      <c r="AB247" s="101"/>
      <c r="AC247" s="101"/>
      <c r="AD247" s="487"/>
      <c r="AE247" s="101"/>
      <c r="AF247" s="101">
        <f>SUM(AF248:AF250)</f>
        <v>0</v>
      </c>
      <c r="AG247" s="101"/>
      <c r="AH247" s="101"/>
      <c r="AI247" s="487"/>
      <c r="AJ247" s="101"/>
      <c r="AK247" s="101">
        <f>SUM(AK248:AK250)</f>
        <v>0</v>
      </c>
      <c r="AL247" s="101"/>
      <c r="AM247" s="101"/>
      <c r="AN247" s="487"/>
      <c r="AO247" s="101"/>
      <c r="AP247" s="101">
        <f>SUM(AP248:AP250)</f>
        <v>0</v>
      </c>
      <c r="AQ247" s="101"/>
      <c r="AR247" s="101"/>
      <c r="AS247" s="487"/>
      <c r="AT247" s="101"/>
      <c r="AU247" s="101">
        <f>SUM(AU248:AU250)</f>
        <v>0</v>
      </c>
      <c r="AV247" s="101"/>
      <c r="AW247" s="101"/>
      <c r="AX247" s="487"/>
      <c r="AY247" s="101"/>
      <c r="AZ247" s="101">
        <f>SUM(AZ248:AZ250)</f>
        <v>0</v>
      </c>
      <c r="BA247" s="101"/>
      <c r="BB247" s="101"/>
      <c r="BC247" s="487"/>
      <c r="BD247" s="101"/>
      <c r="BE247" s="101">
        <f>SUM(BE248:BE250)</f>
        <v>0</v>
      </c>
      <c r="BF247" s="101"/>
      <c r="BG247" s="101"/>
      <c r="BH247" s="487"/>
      <c r="BI247" s="101"/>
      <c r="BJ247" s="101">
        <f>SUM(BJ248:BJ250)</f>
        <v>690763</v>
      </c>
      <c r="BK247" s="101"/>
      <c r="BL247" s="101"/>
      <c r="BM247" s="487"/>
      <c r="BN247" s="101"/>
      <c r="BO247" s="101">
        <f>SUM(BO248:BO250)</f>
        <v>0</v>
      </c>
      <c r="BP247" s="101"/>
      <c r="BQ247" s="101"/>
      <c r="BR247" s="487"/>
      <c r="BS247" s="101"/>
      <c r="BT247" s="101">
        <f>SUM(BT248:BT250)</f>
        <v>690763</v>
      </c>
      <c r="BU247" s="101"/>
      <c r="BV247" s="101"/>
      <c r="BW247" s="398"/>
      <c r="BZ247" s="411"/>
      <c r="CA247" s="411"/>
    </row>
    <row r="248" spans="1:79" ht="12.75" customHeight="1" x14ac:dyDescent="0.3">
      <c r="A248" s="388"/>
      <c r="B248" s="388"/>
      <c r="D248" s="398" t="s">
        <v>373</v>
      </c>
      <c r="F248" s="412"/>
      <c r="G248" s="485">
        <f>384517-56526</f>
        <v>327991</v>
      </c>
      <c r="H248" s="486"/>
      <c r="I248" s="101"/>
      <c r="J248" s="487"/>
      <c r="K248" s="488"/>
      <c r="L248" s="485">
        <v>0</v>
      </c>
      <c r="M248" s="486"/>
      <c r="N248" s="101"/>
      <c r="O248" s="487"/>
      <c r="P248" s="488"/>
      <c r="Q248" s="485">
        <v>0</v>
      </c>
      <c r="R248" s="486"/>
      <c r="S248" s="101"/>
      <c r="T248" s="487"/>
      <c r="U248" s="488"/>
      <c r="V248" s="485">
        <v>0</v>
      </c>
      <c r="W248" s="486"/>
      <c r="X248" s="101"/>
      <c r="Y248" s="487"/>
      <c r="Z248" s="488"/>
      <c r="AA248" s="485">
        <v>0</v>
      </c>
      <c r="AB248" s="486"/>
      <c r="AC248" s="101"/>
      <c r="AD248" s="487"/>
      <c r="AE248" s="488"/>
      <c r="AF248" s="485">
        <v>0</v>
      </c>
      <c r="AG248" s="486"/>
      <c r="AH248" s="101"/>
      <c r="AI248" s="487"/>
      <c r="AJ248" s="488"/>
      <c r="AK248" s="485">
        <v>0</v>
      </c>
      <c r="AL248" s="486"/>
      <c r="AM248" s="101"/>
      <c r="AN248" s="487"/>
      <c r="AO248" s="488"/>
      <c r="AP248" s="485">
        <v>0</v>
      </c>
      <c r="AQ248" s="486"/>
      <c r="AR248" s="101"/>
      <c r="AS248" s="487"/>
      <c r="AT248" s="488"/>
      <c r="AU248" s="485">
        <v>0</v>
      </c>
      <c r="AV248" s="486"/>
      <c r="AW248" s="101"/>
      <c r="AX248" s="487"/>
      <c r="AY248" s="488"/>
      <c r="AZ248" s="485">
        <v>0</v>
      </c>
      <c r="BA248" s="486"/>
      <c r="BB248" s="101"/>
      <c r="BC248" s="487"/>
      <c r="BD248" s="488"/>
      <c r="BE248" s="485">
        <v>0</v>
      </c>
      <c r="BF248" s="486"/>
      <c r="BG248" s="101"/>
      <c r="BH248" s="487"/>
      <c r="BI248" s="488"/>
      <c r="BJ248" s="485">
        <f>690763-98745</f>
        <v>592018</v>
      </c>
      <c r="BK248" s="486"/>
      <c r="BL248" s="101"/>
      <c r="BM248" s="487"/>
      <c r="BN248" s="488"/>
      <c r="BO248" s="485">
        <v>0</v>
      </c>
      <c r="BP248" s="486"/>
      <c r="BQ248" s="101"/>
      <c r="BR248" s="487"/>
      <c r="BS248" s="488"/>
      <c r="BT248" s="485">
        <f>SUM(L248:BO248)</f>
        <v>592018</v>
      </c>
      <c r="BU248" s="486"/>
      <c r="BV248" s="101"/>
      <c r="BW248" s="398"/>
      <c r="BZ248" s="411"/>
      <c r="CA248" s="411"/>
    </row>
    <row r="249" spans="1:79" ht="12.75" customHeight="1" x14ac:dyDescent="0.3">
      <c r="A249" s="388"/>
      <c r="B249" s="388"/>
      <c r="D249" s="398" t="s">
        <v>375</v>
      </c>
      <c r="F249" s="404"/>
      <c r="G249" s="101">
        <v>56526</v>
      </c>
      <c r="H249" s="49"/>
      <c r="I249" s="101"/>
      <c r="J249" s="487"/>
      <c r="K249" s="487"/>
      <c r="L249" s="101">
        <v>0</v>
      </c>
      <c r="M249" s="49"/>
      <c r="N249" s="101"/>
      <c r="O249" s="487"/>
      <c r="P249" s="487"/>
      <c r="Q249" s="101">
        <v>0</v>
      </c>
      <c r="R249" s="49"/>
      <c r="S249" s="101"/>
      <c r="T249" s="487"/>
      <c r="U249" s="487"/>
      <c r="V249" s="101">
        <v>0</v>
      </c>
      <c r="W249" s="49"/>
      <c r="X249" s="101"/>
      <c r="Y249" s="487"/>
      <c r="Z249" s="487"/>
      <c r="AA249" s="101">
        <v>0</v>
      </c>
      <c r="AB249" s="49"/>
      <c r="AC249" s="101"/>
      <c r="AD249" s="487"/>
      <c r="AE249" s="487"/>
      <c r="AF249" s="101">
        <v>0</v>
      </c>
      <c r="AG249" s="49"/>
      <c r="AH249" s="101"/>
      <c r="AI249" s="487"/>
      <c r="AJ249" s="487"/>
      <c r="AK249" s="101">
        <v>0</v>
      </c>
      <c r="AL249" s="49"/>
      <c r="AM249" s="101"/>
      <c r="AN249" s="487"/>
      <c r="AO249" s="487"/>
      <c r="AP249" s="101">
        <v>0</v>
      </c>
      <c r="AQ249" s="49"/>
      <c r="AR249" s="101"/>
      <c r="AS249" s="487"/>
      <c r="AT249" s="487"/>
      <c r="AU249" s="101">
        <v>0</v>
      </c>
      <c r="AV249" s="49"/>
      <c r="AW249" s="101"/>
      <c r="AX249" s="487"/>
      <c r="AY249" s="487"/>
      <c r="AZ249" s="101">
        <v>0</v>
      </c>
      <c r="BA249" s="49"/>
      <c r="BB249" s="101"/>
      <c r="BC249" s="487"/>
      <c r="BD249" s="487"/>
      <c r="BE249" s="101">
        <v>0</v>
      </c>
      <c r="BF249" s="49"/>
      <c r="BG249" s="101"/>
      <c r="BH249" s="487"/>
      <c r="BI249" s="487"/>
      <c r="BJ249" s="101">
        <v>98745</v>
      </c>
      <c r="BK249" s="49"/>
      <c r="BL249" s="101"/>
      <c r="BM249" s="487"/>
      <c r="BN249" s="487"/>
      <c r="BO249" s="101">
        <v>0</v>
      </c>
      <c r="BP249" s="49"/>
      <c r="BQ249" s="101"/>
      <c r="BR249" s="487"/>
      <c r="BS249" s="487"/>
      <c r="BT249" s="101">
        <f>SUM(L249:BO249)</f>
        <v>98745</v>
      </c>
      <c r="BU249" s="49"/>
      <c r="BV249" s="101"/>
      <c r="BW249" s="398"/>
      <c r="BZ249" s="411"/>
      <c r="CA249" s="411"/>
    </row>
    <row r="250" spans="1:79" ht="12.75" customHeight="1" x14ac:dyDescent="0.3">
      <c r="A250" s="388"/>
      <c r="B250" s="388"/>
      <c r="D250" s="398" t="s">
        <v>383</v>
      </c>
      <c r="F250" s="427"/>
      <c r="G250" s="496">
        <v>0</v>
      </c>
      <c r="H250" s="90"/>
      <c r="I250" s="101"/>
      <c r="J250" s="487"/>
      <c r="K250" s="497"/>
      <c r="L250" s="496">
        <v>0</v>
      </c>
      <c r="M250" s="90"/>
      <c r="N250" s="101"/>
      <c r="O250" s="487"/>
      <c r="P250" s="497"/>
      <c r="Q250" s="496">
        <v>0</v>
      </c>
      <c r="R250" s="90"/>
      <c r="S250" s="101"/>
      <c r="T250" s="487"/>
      <c r="U250" s="497"/>
      <c r="V250" s="496">
        <v>0</v>
      </c>
      <c r="W250" s="90"/>
      <c r="X250" s="101"/>
      <c r="Y250" s="487"/>
      <c r="Z250" s="497"/>
      <c r="AA250" s="496">
        <v>0</v>
      </c>
      <c r="AB250" s="90"/>
      <c r="AC250" s="101"/>
      <c r="AD250" s="487"/>
      <c r="AE250" s="497"/>
      <c r="AF250" s="496">
        <v>0</v>
      </c>
      <c r="AG250" s="90"/>
      <c r="AH250" s="101"/>
      <c r="AI250" s="487"/>
      <c r="AJ250" s="497"/>
      <c r="AK250" s="496">
        <v>0</v>
      </c>
      <c r="AL250" s="90"/>
      <c r="AM250" s="101"/>
      <c r="AN250" s="487"/>
      <c r="AO250" s="497"/>
      <c r="AP250" s="496">
        <v>0</v>
      </c>
      <c r="AQ250" s="90"/>
      <c r="AR250" s="101"/>
      <c r="AS250" s="487"/>
      <c r="AT250" s="497"/>
      <c r="AU250" s="496">
        <v>0</v>
      </c>
      <c r="AV250" s="90"/>
      <c r="AW250" s="101"/>
      <c r="AX250" s="487"/>
      <c r="AY250" s="497"/>
      <c r="AZ250" s="496">
        <v>0</v>
      </c>
      <c r="BA250" s="90"/>
      <c r="BB250" s="101"/>
      <c r="BC250" s="487"/>
      <c r="BD250" s="497"/>
      <c r="BE250" s="496">
        <v>0</v>
      </c>
      <c r="BF250" s="90"/>
      <c r="BG250" s="101"/>
      <c r="BH250" s="487"/>
      <c r="BI250" s="497"/>
      <c r="BJ250" s="496">
        <v>0</v>
      </c>
      <c r="BK250" s="90"/>
      <c r="BL250" s="101"/>
      <c r="BM250" s="487"/>
      <c r="BN250" s="497"/>
      <c r="BO250" s="496">
        <v>0</v>
      </c>
      <c r="BP250" s="90"/>
      <c r="BQ250" s="101"/>
      <c r="BR250" s="487"/>
      <c r="BS250" s="497"/>
      <c r="BT250" s="496">
        <f>SUM(L250:BO250)</f>
        <v>0</v>
      </c>
      <c r="BU250" s="90"/>
      <c r="BV250" s="101"/>
      <c r="BW250" s="398"/>
      <c r="BZ250" s="411"/>
      <c r="CA250" s="411"/>
    </row>
    <row r="251" spans="1:79" ht="12.75" customHeight="1" x14ac:dyDescent="0.3">
      <c r="A251" s="388"/>
      <c r="B251" s="388"/>
      <c r="D251" s="398"/>
      <c r="E251" s="509"/>
      <c r="F251" s="239"/>
      <c r="G251" s="101"/>
      <c r="H251" s="101"/>
      <c r="I251" s="101"/>
      <c r="J251" s="487"/>
      <c r="K251" s="239"/>
      <c r="L251" s="101"/>
      <c r="M251" s="101"/>
      <c r="N251" s="101"/>
      <c r="O251" s="487"/>
      <c r="P251" s="239"/>
      <c r="Q251" s="101"/>
      <c r="R251" s="101"/>
      <c r="S251" s="101"/>
      <c r="T251" s="487"/>
      <c r="U251" s="239"/>
      <c r="V251" s="101"/>
      <c r="W251" s="101"/>
      <c r="X251" s="101"/>
      <c r="Y251" s="487"/>
      <c r="Z251" s="239"/>
      <c r="AA251" s="101"/>
      <c r="AB251" s="101"/>
      <c r="AC251" s="101"/>
      <c r="AD251" s="487"/>
      <c r="AE251" s="239"/>
      <c r="AF251" s="101"/>
      <c r="AG251" s="101"/>
      <c r="AH251" s="101"/>
      <c r="AI251" s="487"/>
      <c r="AJ251" s="239"/>
      <c r="AK251" s="101"/>
      <c r="AL251" s="101"/>
      <c r="AM251" s="101"/>
      <c r="AN251" s="487"/>
      <c r="AO251" s="239"/>
      <c r="AP251" s="101"/>
      <c r="AQ251" s="101"/>
      <c r="AR251" s="101"/>
      <c r="AS251" s="487"/>
      <c r="AT251" s="239"/>
      <c r="AU251" s="101"/>
      <c r="AV251" s="101"/>
      <c r="AW251" s="101"/>
      <c r="AX251" s="487"/>
      <c r="AY251" s="239"/>
      <c r="AZ251" s="101"/>
      <c r="BA251" s="101"/>
      <c r="BB251" s="101"/>
      <c r="BC251" s="487"/>
      <c r="BD251" s="239"/>
      <c r="BE251" s="101"/>
      <c r="BF251" s="101"/>
      <c r="BG251" s="101"/>
      <c r="BH251" s="487"/>
      <c r="BI251" s="239"/>
      <c r="BJ251" s="101"/>
      <c r="BK251" s="101"/>
      <c r="BL251" s="101"/>
      <c r="BM251" s="487"/>
      <c r="BN251" s="239"/>
      <c r="BO251" s="101"/>
      <c r="BP251" s="101"/>
      <c r="BQ251" s="101"/>
      <c r="BR251" s="487"/>
      <c r="BS251" s="239"/>
      <c r="BT251" s="101"/>
      <c r="BU251" s="101"/>
      <c r="BV251" s="101"/>
      <c r="BW251" s="398"/>
      <c r="BZ251" s="411"/>
      <c r="CA251" s="411"/>
    </row>
    <row r="252" spans="1:79" ht="12.75" customHeight="1" x14ac:dyDescent="0.3">
      <c r="A252" s="388"/>
      <c r="B252" s="388"/>
      <c r="D252" s="398" t="s">
        <v>401</v>
      </c>
      <c r="E252" s="509"/>
      <c r="F252" s="239"/>
      <c r="G252" s="101">
        <v>0</v>
      </c>
      <c r="H252" s="101"/>
      <c r="I252" s="101"/>
      <c r="J252" s="487"/>
      <c r="K252" s="239"/>
      <c r="L252" s="101">
        <v>0</v>
      </c>
      <c r="M252" s="101"/>
      <c r="N252" s="101"/>
      <c r="O252" s="487"/>
      <c r="P252" s="239"/>
      <c r="Q252" s="101">
        <f>SUM(Q253:Q255)</f>
        <v>0</v>
      </c>
      <c r="R252" s="101"/>
      <c r="S252" s="101"/>
      <c r="T252" s="487"/>
      <c r="U252" s="239"/>
      <c r="V252" s="101">
        <f>SUM(V253:V255)</f>
        <v>0</v>
      </c>
      <c r="W252" s="101"/>
      <c r="X252" s="101"/>
      <c r="Y252" s="487"/>
      <c r="Z252" s="239"/>
      <c r="AA252" s="101">
        <v>0</v>
      </c>
      <c r="AB252" s="101"/>
      <c r="AC252" s="101"/>
      <c r="AD252" s="487"/>
      <c r="AE252" s="239"/>
      <c r="AF252" s="101">
        <f>SUM(AF253:AF255)</f>
        <v>0</v>
      </c>
      <c r="AG252" s="101"/>
      <c r="AH252" s="101"/>
      <c r="AI252" s="487"/>
      <c r="AJ252" s="239"/>
      <c r="AK252" s="101">
        <v>0</v>
      </c>
      <c r="AL252" s="101"/>
      <c r="AM252" s="101"/>
      <c r="AN252" s="487"/>
      <c r="AO252" s="239"/>
      <c r="AP252" s="101">
        <f>SUM(AP253:AP255)</f>
        <v>0</v>
      </c>
      <c r="AQ252" s="101"/>
      <c r="AR252" s="101"/>
      <c r="AS252" s="487"/>
      <c r="AT252" s="239"/>
      <c r="AU252" s="101">
        <v>0</v>
      </c>
      <c r="AV252" s="101"/>
      <c r="AW252" s="101"/>
      <c r="AX252" s="487"/>
      <c r="AY252" s="239"/>
      <c r="AZ252" s="101">
        <v>0</v>
      </c>
      <c r="BA252" s="101"/>
      <c r="BB252" s="101"/>
      <c r="BC252" s="487"/>
      <c r="BD252" s="239"/>
      <c r="BE252" s="101">
        <v>0</v>
      </c>
      <c r="BF252" s="101"/>
      <c r="BG252" s="101"/>
      <c r="BH252" s="487"/>
      <c r="BI252" s="239"/>
      <c r="BJ252" s="101">
        <v>0</v>
      </c>
      <c r="BK252" s="101"/>
      <c r="BL252" s="101"/>
      <c r="BM252" s="487"/>
      <c r="BN252" s="239"/>
      <c r="BO252" s="101">
        <v>0</v>
      </c>
      <c r="BP252" s="101"/>
      <c r="BQ252" s="101"/>
      <c r="BR252" s="487"/>
      <c r="BS252" s="239"/>
      <c r="BT252" s="101">
        <f>SUM(BT253:BT255)</f>
        <v>0</v>
      </c>
      <c r="BU252" s="101"/>
      <c r="BV252" s="101"/>
      <c r="BW252" s="398"/>
      <c r="BZ252" s="411"/>
      <c r="CA252" s="411"/>
    </row>
    <row r="253" spans="1:79" ht="12.75" customHeight="1" x14ac:dyDescent="0.3">
      <c r="A253" s="388"/>
      <c r="B253" s="388"/>
      <c r="D253" s="398" t="s">
        <v>373</v>
      </c>
      <c r="E253" s="509"/>
      <c r="F253" s="510"/>
      <c r="G253" s="485">
        <v>0</v>
      </c>
      <c r="H253" s="486"/>
      <c r="I253" s="101"/>
      <c r="J253" s="487"/>
      <c r="K253" s="510"/>
      <c r="L253" s="485">
        <v>0</v>
      </c>
      <c r="M253" s="486"/>
      <c r="N253" s="101"/>
      <c r="O253" s="487"/>
      <c r="P253" s="488"/>
      <c r="Q253" s="485">
        <v>0</v>
      </c>
      <c r="R253" s="486"/>
      <c r="S253" s="101"/>
      <c r="T253" s="487"/>
      <c r="U253" s="488"/>
      <c r="V253" s="485">
        <v>0</v>
      </c>
      <c r="W253" s="486"/>
      <c r="X253" s="101"/>
      <c r="Y253" s="487"/>
      <c r="Z253" s="488"/>
      <c r="AA253" s="485">
        <v>0</v>
      </c>
      <c r="AB253" s="486"/>
      <c r="AC253" s="101"/>
      <c r="AD253" s="487"/>
      <c r="AE253" s="488"/>
      <c r="AF253" s="485">
        <v>0</v>
      </c>
      <c r="AG253" s="486"/>
      <c r="AH253" s="101"/>
      <c r="AI253" s="487"/>
      <c r="AJ253" s="488"/>
      <c r="AK253" s="485">
        <v>0</v>
      </c>
      <c r="AL253" s="486"/>
      <c r="AM253" s="101"/>
      <c r="AN253" s="487"/>
      <c r="AO253" s="488"/>
      <c r="AP253" s="485">
        <v>0</v>
      </c>
      <c r="AQ253" s="486"/>
      <c r="AR253" s="101"/>
      <c r="AS253" s="487"/>
      <c r="AT253" s="488"/>
      <c r="AU253" s="485">
        <v>0</v>
      </c>
      <c r="AV253" s="486"/>
      <c r="AW253" s="101"/>
      <c r="AX253" s="487"/>
      <c r="AY253" s="488"/>
      <c r="AZ253" s="485">
        <v>0</v>
      </c>
      <c r="BA253" s="486"/>
      <c r="BB253" s="101"/>
      <c r="BC253" s="487"/>
      <c r="BD253" s="488"/>
      <c r="BE253" s="485">
        <v>0</v>
      </c>
      <c r="BF253" s="486"/>
      <c r="BG253" s="101"/>
      <c r="BH253" s="487"/>
      <c r="BI253" s="488"/>
      <c r="BJ253" s="485">
        <v>0</v>
      </c>
      <c r="BK253" s="486"/>
      <c r="BL253" s="101"/>
      <c r="BM253" s="487"/>
      <c r="BN253" s="488"/>
      <c r="BO253" s="485">
        <v>0</v>
      </c>
      <c r="BP253" s="486"/>
      <c r="BQ253" s="101"/>
      <c r="BR253" s="487"/>
      <c r="BS253" s="488"/>
      <c r="BT253" s="485">
        <f>SUM(L253:BO253)</f>
        <v>0</v>
      </c>
      <c r="BU253" s="486"/>
      <c r="BV253" s="101"/>
      <c r="BW253" s="398"/>
      <c r="BZ253" s="411"/>
      <c r="CA253" s="411"/>
    </row>
    <row r="254" spans="1:79" ht="12.75" customHeight="1" x14ac:dyDescent="0.3">
      <c r="A254" s="388"/>
      <c r="B254" s="388"/>
      <c r="D254" s="398" t="s">
        <v>375</v>
      </c>
      <c r="E254" s="509"/>
      <c r="F254" s="480"/>
      <c r="G254" s="101">
        <v>0</v>
      </c>
      <c r="H254" s="49"/>
      <c r="I254" s="101"/>
      <c r="J254" s="487"/>
      <c r="K254" s="480"/>
      <c r="L254" s="101">
        <v>0</v>
      </c>
      <c r="M254" s="49"/>
      <c r="N254" s="101"/>
      <c r="O254" s="487"/>
      <c r="P254" s="487"/>
      <c r="Q254" s="101">
        <v>0</v>
      </c>
      <c r="R254" s="49"/>
      <c r="S254" s="101"/>
      <c r="T254" s="487"/>
      <c r="U254" s="487"/>
      <c r="V254" s="101">
        <v>0</v>
      </c>
      <c r="W254" s="49"/>
      <c r="X254" s="101"/>
      <c r="Y254" s="487"/>
      <c r="Z254" s="487"/>
      <c r="AA254" s="101">
        <v>0</v>
      </c>
      <c r="AB254" s="49"/>
      <c r="AC254" s="101"/>
      <c r="AD254" s="487"/>
      <c r="AE254" s="487"/>
      <c r="AF254" s="101">
        <v>0</v>
      </c>
      <c r="AG254" s="49"/>
      <c r="AH254" s="101"/>
      <c r="AI254" s="487"/>
      <c r="AJ254" s="487"/>
      <c r="AK254" s="101">
        <v>0</v>
      </c>
      <c r="AL254" s="49"/>
      <c r="AM254" s="101"/>
      <c r="AN254" s="487"/>
      <c r="AO254" s="487"/>
      <c r="AP254" s="101">
        <v>0</v>
      </c>
      <c r="AQ254" s="49"/>
      <c r="AR254" s="101"/>
      <c r="AS254" s="487"/>
      <c r="AT254" s="487"/>
      <c r="AU254" s="101">
        <v>0</v>
      </c>
      <c r="AV254" s="49"/>
      <c r="AW254" s="101"/>
      <c r="AX254" s="487"/>
      <c r="AY254" s="487"/>
      <c r="AZ254" s="101">
        <v>0</v>
      </c>
      <c r="BA254" s="49"/>
      <c r="BB254" s="101"/>
      <c r="BC254" s="487"/>
      <c r="BD254" s="487"/>
      <c r="BE254" s="101">
        <v>0</v>
      </c>
      <c r="BF254" s="49"/>
      <c r="BG254" s="101"/>
      <c r="BH254" s="487"/>
      <c r="BI254" s="487"/>
      <c r="BJ254" s="101">
        <v>0</v>
      </c>
      <c r="BK254" s="49"/>
      <c r="BL254" s="101"/>
      <c r="BM254" s="487"/>
      <c r="BN254" s="487"/>
      <c r="BO254" s="101">
        <v>0</v>
      </c>
      <c r="BP254" s="49"/>
      <c r="BQ254" s="101"/>
      <c r="BR254" s="487"/>
      <c r="BS254" s="487"/>
      <c r="BT254" s="101">
        <f>SUM(L254:BO254)</f>
        <v>0</v>
      </c>
      <c r="BU254" s="49"/>
      <c r="BV254" s="101"/>
      <c r="BW254" s="398"/>
      <c r="BZ254" s="411"/>
      <c r="CA254" s="411"/>
    </row>
    <row r="255" spans="1:79" ht="12.75" customHeight="1" x14ac:dyDescent="0.3">
      <c r="A255" s="388"/>
      <c r="B255" s="388"/>
      <c r="D255" s="398" t="s">
        <v>383</v>
      </c>
      <c r="E255" s="509"/>
      <c r="F255" s="481"/>
      <c r="G255" s="496">
        <v>0</v>
      </c>
      <c r="H255" s="90"/>
      <c r="I255" s="101"/>
      <c r="J255" s="487"/>
      <c r="K255" s="481"/>
      <c r="L255" s="496">
        <v>0</v>
      </c>
      <c r="M255" s="90"/>
      <c r="N255" s="101"/>
      <c r="O255" s="487"/>
      <c r="P255" s="497"/>
      <c r="Q255" s="496">
        <v>0</v>
      </c>
      <c r="R255" s="90"/>
      <c r="S255" s="101"/>
      <c r="T255" s="487"/>
      <c r="U255" s="497"/>
      <c r="V255" s="496">
        <v>0</v>
      </c>
      <c r="W255" s="90"/>
      <c r="X255" s="101"/>
      <c r="Y255" s="487"/>
      <c r="Z255" s="497"/>
      <c r="AA255" s="496">
        <v>0</v>
      </c>
      <c r="AB255" s="90"/>
      <c r="AC255" s="101"/>
      <c r="AD255" s="487"/>
      <c r="AE255" s="497"/>
      <c r="AF255" s="496">
        <v>0</v>
      </c>
      <c r="AG255" s="90"/>
      <c r="AH255" s="101"/>
      <c r="AI255" s="487"/>
      <c r="AJ255" s="497"/>
      <c r="AK255" s="496">
        <v>0</v>
      </c>
      <c r="AL255" s="90"/>
      <c r="AM255" s="101"/>
      <c r="AN255" s="487"/>
      <c r="AO255" s="497"/>
      <c r="AP255" s="496">
        <v>0</v>
      </c>
      <c r="AQ255" s="90"/>
      <c r="AR255" s="101"/>
      <c r="AS255" s="487"/>
      <c r="AT255" s="497"/>
      <c r="AU255" s="496">
        <v>0</v>
      </c>
      <c r="AV255" s="90"/>
      <c r="AW255" s="101"/>
      <c r="AX255" s="487"/>
      <c r="AY255" s="497"/>
      <c r="AZ255" s="496">
        <v>0</v>
      </c>
      <c r="BA255" s="90"/>
      <c r="BB255" s="101"/>
      <c r="BC255" s="487"/>
      <c r="BD255" s="497"/>
      <c r="BE255" s="496">
        <v>0</v>
      </c>
      <c r="BF255" s="90"/>
      <c r="BG255" s="101"/>
      <c r="BH255" s="487"/>
      <c r="BI255" s="497"/>
      <c r="BJ255" s="496">
        <v>0</v>
      </c>
      <c r="BK255" s="90"/>
      <c r="BL255" s="101"/>
      <c r="BM255" s="487"/>
      <c r="BN255" s="497"/>
      <c r="BO255" s="496">
        <v>0</v>
      </c>
      <c r="BP255" s="90"/>
      <c r="BQ255" s="101"/>
      <c r="BR255" s="487"/>
      <c r="BS255" s="497"/>
      <c r="BT255" s="496">
        <f>SUM(L255:BO255)</f>
        <v>0</v>
      </c>
      <c r="BU255" s="90"/>
      <c r="BV255" s="101"/>
      <c r="BW255" s="398"/>
      <c r="BZ255" s="411"/>
      <c r="CA255" s="411"/>
    </row>
    <row r="256" spans="1:79" ht="12.75" customHeight="1" x14ac:dyDescent="0.3">
      <c r="A256" s="388"/>
      <c r="B256" s="388"/>
      <c r="D256" s="398"/>
      <c r="E256" s="509"/>
      <c r="F256" s="239"/>
      <c r="G256" s="101"/>
      <c r="H256" s="101"/>
      <c r="I256" s="101"/>
      <c r="J256" s="487"/>
      <c r="K256" s="239"/>
      <c r="L256" s="101"/>
      <c r="M256" s="101"/>
      <c r="N256" s="101"/>
      <c r="O256" s="487"/>
      <c r="P256" s="239"/>
      <c r="Q256" s="101"/>
      <c r="R256" s="101"/>
      <c r="S256" s="101"/>
      <c r="T256" s="487"/>
      <c r="U256" s="239"/>
      <c r="V256" s="101"/>
      <c r="W256" s="101"/>
      <c r="X256" s="101"/>
      <c r="Y256" s="487"/>
      <c r="Z256" s="239"/>
      <c r="AA256" s="101"/>
      <c r="AB256" s="101"/>
      <c r="AC256" s="101"/>
      <c r="AD256" s="487"/>
      <c r="AE256" s="239"/>
      <c r="AF256" s="101"/>
      <c r="AG256" s="101"/>
      <c r="AH256" s="101"/>
      <c r="AI256" s="487"/>
      <c r="AJ256" s="239"/>
      <c r="AK256" s="101"/>
      <c r="AL256" s="101"/>
      <c r="AM256" s="101"/>
      <c r="AN256" s="487"/>
      <c r="AO256" s="239"/>
      <c r="AP256" s="101"/>
      <c r="AQ256" s="101"/>
      <c r="AR256" s="101"/>
      <c r="AS256" s="487"/>
      <c r="AT256" s="239"/>
      <c r="AU256" s="101"/>
      <c r="AV256" s="101"/>
      <c r="AW256" s="101"/>
      <c r="AX256" s="487"/>
      <c r="AY256" s="239"/>
      <c r="AZ256" s="101"/>
      <c r="BA256" s="101"/>
      <c r="BB256" s="101"/>
      <c r="BC256" s="487"/>
      <c r="BD256" s="239"/>
      <c r="BE256" s="101"/>
      <c r="BF256" s="101"/>
      <c r="BG256" s="101"/>
      <c r="BH256" s="487"/>
      <c r="BI256" s="239"/>
      <c r="BJ256" s="101"/>
      <c r="BK256" s="101"/>
      <c r="BL256" s="101"/>
      <c r="BM256" s="487"/>
      <c r="BN256" s="239"/>
      <c r="BO256" s="101"/>
      <c r="BP256" s="101"/>
      <c r="BQ256" s="101"/>
      <c r="BR256" s="487"/>
      <c r="BS256" s="239"/>
      <c r="BT256" s="101"/>
      <c r="BU256" s="101"/>
      <c r="BV256" s="101"/>
      <c r="BW256" s="398"/>
      <c r="BZ256" s="411"/>
      <c r="CA256" s="411"/>
    </row>
    <row r="257" spans="1:79" ht="12.75" customHeight="1" x14ac:dyDescent="0.3">
      <c r="A257" s="388"/>
      <c r="B257" s="388"/>
      <c r="D257" s="398" t="s">
        <v>400</v>
      </c>
      <c r="E257" s="509"/>
      <c r="F257" s="239"/>
      <c r="G257" s="101">
        <v>0</v>
      </c>
      <c r="H257" s="101"/>
      <c r="I257" s="101"/>
      <c r="J257" s="487"/>
      <c r="K257" s="239"/>
      <c r="L257" s="101">
        <f>SUM(L258:L261)</f>
        <v>0</v>
      </c>
      <c r="M257" s="101"/>
      <c r="N257" s="101"/>
      <c r="O257" s="487"/>
      <c r="P257" s="239"/>
      <c r="Q257" s="101">
        <f>SUM(Q258:Q261)</f>
        <v>0</v>
      </c>
      <c r="R257" s="101"/>
      <c r="S257" s="101"/>
      <c r="T257" s="487"/>
      <c r="U257" s="239"/>
      <c r="V257" s="101">
        <f>SUM(V258:V261)</f>
        <v>0</v>
      </c>
      <c r="W257" s="101"/>
      <c r="X257" s="101"/>
      <c r="Y257" s="487"/>
      <c r="Z257" s="239"/>
      <c r="AA257" s="101">
        <f>SUM(AA258:AA261)</f>
        <v>0</v>
      </c>
      <c r="AB257" s="101"/>
      <c r="AC257" s="101"/>
      <c r="AD257" s="487"/>
      <c r="AE257" s="239"/>
      <c r="AF257" s="101">
        <f>SUM(AF258:AF261)</f>
        <v>0</v>
      </c>
      <c r="AG257" s="101"/>
      <c r="AH257" s="101"/>
      <c r="AI257" s="487"/>
      <c r="AJ257" s="239"/>
      <c r="AK257" s="101">
        <f>SUM(AK258:AK261)</f>
        <v>0</v>
      </c>
      <c r="AL257" s="101"/>
      <c r="AM257" s="101"/>
      <c r="AN257" s="487"/>
      <c r="AO257" s="239"/>
      <c r="AP257" s="101">
        <f>SUM(AP258:AP261)</f>
        <v>0</v>
      </c>
      <c r="AQ257" s="101"/>
      <c r="AR257" s="101"/>
      <c r="AS257" s="487"/>
      <c r="AT257" s="239"/>
      <c r="AU257" s="101">
        <f>SUM(AU258:AU261)</f>
        <v>0</v>
      </c>
      <c r="AV257" s="101"/>
      <c r="AW257" s="101"/>
      <c r="AX257" s="487"/>
      <c r="AY257" s="239"/>
      <c r="AZ257" s="101">
        <f>SUM(AZ258:AZ261)</f>
        <v>0</v>
      </c>
      <c r="BA257" s="101"/>
      <c r="BB257" s="101"/>
      <c r="BC257" s="487"/>
      <c r="BD257" s="239"/>
      <c r="BE257" s="101">
        <f>SUM(BE258:BE261)</f>
        <v>0</v>
      </c>
      <c r="BF257" s="101"/>
      <c r="BG257" s="101"/>
      <c r="BH257" s="487"/>
      <c r="BI257" s="239"/>
      <c r="BJ257" s="101">
        <f>SUM(BJ258:BJ261)</f>
        <v>0</v>
      </c>
      <c r="BK257" s="101"/>
      <c r="BL257" s="101"/>
      <c r="BM257" s="487"/>
      <c r="BN257" s="239"/>
      <c r="BO257" s="101">
        <f>SUM(BO258:BO261)</f>
        <v>0</v>
      </c>
      <c r="BP257" s="101"/>
      <c r="BQ257" s="101"/>
      <c r="BR257" s="487"/>
      <c r="BS257" s="239"/>
      <c r="BT257" s="101">
        <f>SUM(BT258:BT261)</f>
        <v>0</v>
      </c>
      <c r="BU257" s="101"/>
      <c r="BV257" s="101"/>
      <c r="BW257" s="398"/>
      <c r="BZ257" s="411"/>
      <c r="CA257" s="411"/>
    </row>
    <row r="258" spans="1:79" ht="12.75" customHeight="1" x14ac:dyDescent="0.3">
      <c r="A258" s="388"/>
      <c r="B258" s="388"/>
      <c r="D258" s="398" t="s">
        <v>373</v>
      </c>
      <c r="F258" s="412"/>
      <c r="G258" s="485">
        <v>0</v>
      </c>
      <c r="H258" s="486"/>
      <c r="I258" s="101"/>
      <c r="J258" s="487"/>
      <c r="K258" s="488"/>
      <c r="L258" s="485">
        <v>0</v>
      </c>
      <c r="M258" s="486"/>
      <c r="N258" s="101"/>
      <c r="O258" s="487"/>
      <c r="P258" s="488"/>
      <c r="Q258" s="485">
        <v>0</v>
      </c>
      <c r="R258" s="486"/>
      <c r="S258" s="101"/>
      <c r="T258" s="487"/>
      <c r="U258" s="488"/>
      <c r="V258" s="485">
        <v>0</v>
      </c>
      <c r="W258" s="486"/>
      <c r="X258" s="101"/>
      <c r="Y258" s="487"/>
      <c r="Z258" s="488"/>
      <c r="AA258" s="485">
        <v>0</v>
      </c>
      <c r="AB258" s="486"/>
      <c r="AC258" s="101"/>
      <c r="AD258" s="487"/>
      <c r="AE258" s="488"/>
      <c r="AF258" s="485">
        <v>0</v>
      </c>
      <c r="AG258" s="486"/>
      <c r="AH258" s="101"/>
      <c r="AI258" s="487"/>
      <c r="AJ258" s="488"/>
      <c r="AK258" s="485">
        <v>0</v>
      </c>
      <c r="AL258" s="486"/>
      <c r="AM258" s="101"/>
      <c r="AN258" s="487"/>
      <c r="AO258" s="488"/>
      <c r="AP258" s="485">
        <v>0</v>
      </c>
      <c r="AQ258" s="486"/>
      <c r="AR258" s="101"/>
      <c r="AS258" s="487"/>
      <c r="AT258" s="488"/>
      <c r="AU258" s="485">
        <v>0</v>
      </c>
      <c r="AV258" s="486"/>
      <c r="AW258" s="101"/>
      <c r="AX258" s="487"/>
      <c r="AY258" s="488"/>
      <c r="AZ258" s="485">
        <v>0</v>
      </c>
      <c r="BA258" s="486"/>
      <c r="BB258" s="101"/>
      <c r="BC258" s="487"/>
      <c r="BD258" s="488"/>
      <c r="BE258" s="485">
        <v>0</v>
      </c>
      <c r="BF258" s="486"/>
      <c r="BG258" s="101"/>
      <c r="BH258" s="487"/>
      <c r="BI258" s="488"/>
      <c r="BJ258" s="485">
        <v>0</v>
      </c>
      <c r="BK258" s="486"/>
      <c r="BL258" s="101"/>
      <c r="BM258" s="487"/>
      <c r="BN258" s="488"/>
      <c r="BO258" s="485">
        <v>0</v>
      </c>
      <c r="BP258" s="486"/>
      <c r="BQ258" s="101"/>
      <c r="BR258" s="487"/>
      <c r="BS258" s="488"/>
      <c r="BT258" s="485">
        <f>SUM(L258:BO258)</f>
        <v>0</v>
      </c>
      <c r="BU258" s="486"/>
      <c r="BV258" s="101"/>
      <c r="BW258" s="398"/>
      <c r="BZ258" s="411"/>
      <c r="CA258" s="411"/>
    </row>
    <row r="259" spans="1:79" ht="12.75" customHeight="1" x14ac:dyDescent="0.3">
      <c r="A259" s="388"/>
      <c r="B259" s="388"/>
      <c r="D259" s="398" t="s">
        <v>375</v>
      </c>
      <c r="E259" s="509"/>
      <c r="F259" s="404"/>
      <c r="G259" s="101">
        <v>0</v>
      </c>
      <c r="H259" s="49"/>
      <c r="I259" s="101"/>
      <c r="J259" s="487"/>
      <c r="K259" s="487"/>
      <c r="L259" s="101">
        <v>0</v>
      </c>
      <c r="M259" s="49"/>
      <c r="N259" s="101"/>
      <c r="O259" s="487"/>
      <c r="P259" s="487"/>
      <c r="Q259" s="101">
        <v>0</v>
      </c>
      <c r="R259" s="49"/>
      <c r="S259" s="101"/>
      <c r="T259" s="487"/>
      <c r="U259" s="487"/>
      <c r="V259" s="101">
        <v>0</v>
      </c>
      <c r="W259" s="49"/>
      <c r="X259" s="101"/>
      <c r="Y259" s="487"/>
      <c r="Z259" s="487"/>
      <c r="AA259" s="101">
        <v>0</v>
      </c>
      <c r="AB259" s="49"/>
      <c r="AC259" s="101"/>
      <c r="AD259" s="487"/>
      <c r="AE259" s="487"/>
      <c r="AF259" s="101">
        <v>0</v>
      </c>
      <c r="AG259" s="49"/>
      <c r="AH259" s="101"/>
      <c r="AI259" s="487"/>
      <c r="AJ259" s="487"/>
      <c r="AK259" s="101">
        <v>0</v>
      </c>
      <c r="AL259" s="49"/>
      <c r="AM259" s="101"/>
      <c r="AN259" s="487"/>
      <c r="AO259" s="487"/>
      <c r="AP259" s="101">
        <v>0</v>
      </c>
      <c r="AQ259" s="49"/>
      <c r="AR259" s="101"/>
      <c r="AS259" s="487"/>
      <c r="AT259" s="487"/>
      <c r="AU259" s="101">
        <v>0</v>
      </c>
      <c r="AV259" s="49"/>
      <c r="AW259" s="101"/>
      <c r="AX259" s="487"/>
      <c r="AY259" s="487"/>
      <c r="AZ259" s="101">
        <v>0</v>
      </c>
      <c r="BA259" s="49"/>
      <c r="BB259" s="101"/>
      <c r="BC259" s="487"/>
      <c r="BD259" s="487"/>
      <c r="BE259" s="101">
        <v>0</v>
      </c>
      <c r="BF259" s="49"/>
      <c r="BG259" s="101"/>
      <c r="BH259" s="487"/>
      <c r="BI259" s="487"/>
      <c r="BJ259" s="101">
        <v>0</v>
      </c>
      <c r="BK259" s="49"/>
      <c r="BL259" s="101"/>
      <c r="BM259" s="487"/>
      <c r="BN259" s="487"/>
      <c r="BO259" s="101">
        <v>0</v>
      </c>
      <c r="BP259" s="49"/>
      <c r="BQ259" s="101"/>
      <c r="BR259" s="487"/>
      <c r="BS259" s="487"/>
      <c r="BT259" s="101">
        <f>SUM(L259:BO259)</f>
        <v>0</v>
      </c>
      <c r="BU259" s="49"/>
      <c r="BV259" s="101"/>
      <c r="BW259" s="398"/>
      <c r="BZ259" s="411"/>
      <c r="CA259" s="411"/>
    </row>
    <row r="260" spans="1:79" ht="12.75" customHeight="1" x14ac:dyDescent="0.3">
      <c r="A260" s="388"/>
      <c r="B260" s="388"/>
      <c r="D260" s="398" t="s">
        <v>383</v>
      </c>
      <c r="E260" s="509"/>
      <c r="F260" s="427"/>
      <c r="G260" s="496">
        <v>0</v>
      </c>
      <c r="H260" s="90"/>
      <c r="I260" s="101"/>
      <c r="J260" s="487"/>
      <c r="K260" s="497"/>
      <c r="L260" s="496">
        <v>0</v>
      </c>
      <c r="M260" s="90"/>
      <c r="N260" s="101"/>
      <c r="O260" s="487"/>
      <c r="P260" s="497"/>
      <c r="Q260" s="496">
        <v>0</v>
      </c>
      <c r="R260" s="90"/>
      <c r="S260" s="101"/>
      <c r="T260" s="487"/>
      <c r="U260" s="497"/>
      <c r="V260" s="496">
        <v>0</v>
      </c>
      <c r="W260" s="90"/>
      <c r="X260" s="101"/>
      <c r="Y260" s="487"/>
      <c r="Z260" s="497"/>
      <c r="AA260" s="496">
        <v>0</v>
      </c>
      <c r="AB260" s="90"/>
      <c r="AC260" s="101"/>
      <c r="AD260" s="487"/>
      <c r="AE260" s="497"/>
      <c r="AF260" s="496">
        <v>0</v>
      </c>
      <c r="AG260" s="90"/>
      <c r="AH260" s="101"/>
      <c r="AI260" s="487"/>
      <c r="AJ260" s="497"/>
      <c r="AK260" s="496">
        <v>0</v>
      </c>
      <c r="AL260" s="90"/>
      <c r="AM260" s="101"/>
      <c r="AN260" s="487"/>
      <c r="AO260" s="497"/>
      <c r="AP260" s="496">
        <v>0</v>
      </c>
      <c r="AQ260" s="90"/>
      <c r="AR260" s="101"/>
      <c r="AS260" s="487"/>
      <c r="AT260" s="497"/>
      <c r="AU260" s="496">
        <v>0</v>
      </c>
      <c r="AV260" s="90"/>
      <c r="AW260" s="101"/>
      <c r="AX260" s="487"/>
      <c r="AY260" s="497"/>
      <c r="AZ260" s="496">
        <v>0</v>
      </c>
      <c r="BA260" s="90"/>
      <c r="BB260" s="101"/>
      <c r="BC260" s="487"/>
      <c r="BD260" s="497"/>
      <c r="BE260" s="496">
        <v>0</v>
      </c>
      <c r="BF260" s="90"/>
      <c r="BG260" s="101"/>
      <c r="BH260" s="487"/>
      <c r="BI260" s="497"/>
      <c r="BJ260" s="496">
        <v>0</v>
      </c>
      <c r="BK260" s="90"/>
      <c r="BL260" s="101"/>
      <c r="BM260" s="487"/>
      <c r="BN260" s="497"/>
      <c r="BO260" s="496">
        <v>0</v>
      </c>
      <c r="BP260" s="90"/>
      <c r="BQ260" s="101"/>
      <c r="BR260" s="487"/>
      <c r="BS260" s="497"/>
      <c r="BT260" s="496">
        <f>SUM(L260:BO260)</f>
        <v>0</v>
      </c>
      <c r="BU260" s="90"/>
      <c r="BV260" s="101"/>
      <c r="BW260" s="398"/>
      <c r="BZ260" s="411"/>
      <c r="CA260" s="411"/>
    </row>
    <row r="261" spans="1:79" ht="12.75" hidden="1" customHeight="1" x14ac:dyDescent="0.2">
      <c r="A261" s="388"/>
      <c r="B261" s="388"/>
      <c r="D261" s="398" t="s">
        <v>377</v>
      </c>
      <c r="E261" s="509"/>
      <c r="F261" s="512"/>
      <c r="G261" s="496">
        <v>0</v>
      </c>
      <c r="H261" s="90"/>
      <c r="I261" s="101"/>
      <c r="J261" s="487"/>
      <c r="K261" s="512"/>
      <c r="L261" s="496">
        <v>0</v>
      </c>
      <c r="M261" s="90"/>
      <c r="N261" s="101"/>
      <c r="O261" s="487"/>
      <c r="P261" s="512"/>
      <c r="Q261" s="496">
        <v>0</v>
      </c>
      <c r="R261" s="90"/>
      <c r="S261" s="101"/>
      <c r="T261" s="487"/>
      <c r="U261" s="512"/>
      <c r="V261" s="496">
        <v>0</v>
      </c>
      <c r="W261" s="90"/>
      <c r="X261" s="101"/>
      <c r="Y261" s="487"/>
      <c r="Z261" s="512"/>
      <c r="AA261" s="496">
        <v>0</v>
      </c>
      <c r="AB261" s="90"/>
      <c r="AC261" s="101"/>
      <c r="AD261" s="487"/>
      <c r="AE261" s="512"/>
      <c r="AF261" s="496">
        <v>0</v>
      </c>
      <c r="AG261" s="90"/>
      <c r="AH261" s="101"/>
      <c r="AI261" s="487"/>
      <c r="AJ261" s="512"/>
      <c r="AK261" s="496">
        <v>0</v>
      </c>
      <c r="AL261" s="90"/>
      <c r="AM261" s="101"/>
      <c r="AN261" s="487"/>
      <c r="AO261" s="512"/>
      <c r="AP261" s="496">
        <v>0</v>
      </c>
      <c r="AQ261" s="90"/>
      <c r="AR261" s="101"/>
      <c r="AS261" s="487"/>
      <c r="AT261" s="512"/>
      <c r="AU261" s="496">
        <v>0</v>
      </c>
      <c r="AV261" s="90"/>
      <c r="AW261" s="101"/>
      <c r="AX261" s="487"/>
      <c r="AY261" s="512"/>
      <c r="AZ261" s="496">
        <v>0</v>
      </c>
      <c r="BA261" s="90"/>
      <c r="BB261" s="101"/>
      <c r="BC261" s="487"/>
      <c r="BD261" s="512"/>
      <c r="BE261" s="496">
        <v>0</v>
      </c>
      <c r="BF261" s="90"/>
      <c r="BG261" s="101"/>
      <c r="BH261" s="487"/>
      <c r="BI261" s="512"/>
      <c r="BJ261" s="496">
        <v>0</v>
      </c>
      <c r="BK261" s="90"/>
      <c r="BL261" s="101"/>
      <c r="BM261" s="487"/>
      <c r="BN261" s="512"/>
      <c r="BO261" s="496">
        <v>0</v>
      </c>
      <c r="BP261" s="90"/>
      <c r="BQ261" s="101"/>
      <c r="BR261" s="487"/>
      <c r="BS261" s="512"/>
      <c r="BT261" s="496">
        <f>SUM(L261:BO261)</f>
        <v>0</v>
      </c>
      <c r="BU261" s="90"/>
      <c r="BV261" s="101"/>
      <c r="BW261" s="398"/>
      <c r="BZ261" s="411"/>
      <c r="CA261" s="411"/>
    </row>
    <row r="262" spans="1:79" ht="12.75" customHeight="1" x14ac:dyDescent="0.3">
      <c r="A262" s="388"/>
      <c r="B262" s="388"/>
      <c r="D262" s="398"/>
      <c r="E262" s="509"/>
      <c r="F262" s="239"/>
      <c r="G262" s="101"/>
      <c r="H262" s="101"/>
      <c r="I262" s="101"/>
      <c r="J262" s="487"/>
      <c r="K262" s="239"/>
      <c r="L262" s="101"/>
      <c r="M262" s="101"/>
      <c r="N262" s="101"/>
      <c r="O262" s="487"/>
      <c r="P262" s="239"/>
      <c r="Q262" s="101"/>
      <c r="R262" s="101"/>
      <c r="S262" s="101"/>
      <c r="T262" s="487"/>
      <c r="U262" s="239"/>
      <c r="V262" s="101"/>
      <c r="W262" s="101"/>
      <c r="X262" s="101"/>
      <c r="Y262" s="487"/>
      <c r="Z262" s="239"/>
      <c r="AA262" s="101"/>
      <c r="AB262" s="101"/>
      <c r="AC262" s="101"/>
      <c r="AD262" s="487"/>
      <c r="AE262" s="239"/>
      <c r="AF262" s="101"/>
      <c r="AG262" s="101"/>
      <c r="AH262" s="101"/>
      <c r="AI262" s="487"/>
      <c r="AJ262" s="239"/>
      <c r="AK262" s="101"/>
      <c r="AL262" s="101"/>
      <c r="AM262" s="101"/>
      <c r="AN262" s="487"/>
      <c r="AO262" s="239"/>
      <c r="AP262" s="101"/>
      <c r="AQ262" s="101"/>
      <c r="AR262" s="101"/>
      <c r="AS262" s="487"/>
      <c r="AT262" s="239"/>
      <c r="AU262" s="101"/>
      <c r="AV262" s="101"/>
      <c r="AW262" s="101"/>
      <c r="AX262" s="487"/>
      <c r="AY262" s="239"/>
      <c r="AZ262" s="101"/>
      <c r="BA262" s="101"/>
      <c r="BB262" s="101"/>
      <c r="BC262" s="487"/>
      <c r="BD262" s="239"/>
      <c r="BE262" s="101"/>
      <c r="BF262" s="101"/>
      <c r="BG262" s="101"/>
      <c r="BH262" s="487"/>
      <c r="BI262" s="239"/>
      <c r="BJ262" s="101"/>
      <c r="BK262" s="101"/>
      <c r="BL262" s="101"/>
      <c r="BM262" s="487"/>
      <c r="BN262" s="239"/>
      <c r="BO262" s="101"/>
      <c r="BP262" s="101"/>
      <c r="BQ262" s="101"/>
      <c r="BR262" s="487"/>
      <c r="BS262" s="239"/>
      <c r="BT262" s="101"/>
      <c r="BU262" s="101"/>
      <c r="BV262" s="101"/>
      <c r="BW262" s="398"/>
      <c r="BZ262" s="411"/>
      <c r="CA262" s="411"/>
    </row>
    <row r="263" spans="1:79" ht="12.75" customHeight="1" x14ac:dyDescent="0.3">
      <c r="A263" s="388"/>
      <c r="B263" s="388"/>
      <c r="D263" s="398" t="s">
        <v>406</v>
      </c>
      <c r="E263" s="509"/>
      <c r="F263" s="239"/>
      <c r="G263" s="101">
        <v>0</v>
      </c>
      <c r="H263" s="101"/>
      <c r="I263" s="101"/>
      <c r="J263" s="487"/>
      <c r="K263" s="239"/>
      <c r="L263" s="101">
        <f>SUM(L264:L266)</f>
        <v>0</v>
      </c>
      <c r="M263" s="101"/>
      <c r="N263" s="101"/>
      <c r="O263" s="487"/>
      <c r="P263" s="239"/>
      <c r="Q263" s="101">
        <f>SUM(Q264:Q266)</f>
        <v>0</v>
      </c>
      <c r="R263" s="101"/>
      <c r="S263" s="101"/>
      <c r="T263" s="487"/>
      <c r="U263" s="239"/>
      <c r="V263" s="101">
        <f>SUM(V264:V266)</f>
        <v>0</v>
      </c>
      <c r="W263" s="101"/>
      <c r="X263" s="101"/>
      <c r="Y263" s="487"/>
      <c r="Z263" s="239"/>
      <c r="AA263" s="101">
        <f>SUM(AA264:AA266)</f>
        <v>0</v>
      </c>
      <c r="AB263" s="101"/>
      <c r="AC263" s="101"/>
      <c r="AD263" s="487"/>
      <c r="AE263" s="239"/>
      <c r="AF263" s="101">
        <f>SUM(AF264:AF266)</f>
        <v>0</v>
      </c>
      <c r="AG263" s="101"/>
      <c r="AH263" s="101"/>
      <c r="AI263" s="487"/>
      <c r="AJ263" s="239"/>
      <c r="AK263" s="101">
        <f>SUM(AK264:AK266)</f>
        <v>0</v>
      </c>
      <c r="AL263" s="101"/>
      <c r="AM263" s="101"/>
      <c r="AN263" s="487"/>
      <c r="AO263" s="239"/>
      <c r="AP263" s="101">
        <f>SUM(AP264:AP266)</f>
        <v>0</v>
      </c>
      <c r="AQ263" s="101"/>
      <c r="AR263" s="101"/>
      <c r="AS263" s="487"/>
      <c r="AT263" s="239"/>
      <c r="AU263" s="101">
        <f>SUM(AU264:AU266)</f>
        <v>0</v>
      </c>
      <c r="AV263" s="101"/>
      <c r="AW263" s="101"/>
      <c r="AX263" s="487"/>
      <c r="AY263" s="239"/>
      <c r="AZ263" s="101">
        <f>SUM(AZ264:AZ266)</f>
        <v>0</v>
      </c>
      <c r="BA263" s="101"/>
      <c r="BB263" s="101"/>
      <c r="BC263" s="487"/>
      <c r="BD263" s="239"/>
      <c r="BE263" s="101">
        <f>SUM(BE264:BE266)</f>
        <v>0</v>
      </c>
      <c r="BF263" s="101"/>
      <c r="BG263" s="101"/>
      <c r="BH263" s="487"/>
      <c r="BI263" s="239"/>
      <c r="BJ263" s="101">
        <f>SUM(BJ264:BJ266)</f>
        <v>1808338</v>
      </c>
      <c r="BK263" s="101"/>
      <c r="BL263" s="101"/>
      <c r="BM263" s="487"/>
      <c r="BN263" s="239"/>
      <c r="BO263" s="101">
        <f>SUM(BO264:BO266)</f>
        <v>0</v>
      </c>
      <c r="BP263" s="101"/>
      <c r="BQ263" s="101"/>
      <c r="BR263" s="487"/>
      <c r="BS263" s="239"/>
      <c r="BT263" s="101">
        <f>SUM(BT264:BT266)</f>
        <v>1808338</v>
      </c>
      <c r="BU263" s="101"/>
      <c r="BV263" s="101"/>
      <c r="BW263" s="398"/>
      <c r="BZ263" s="411"/>
      <c r="CA263" s="411"/>
    </row>
    <row r="264" spans="1:79" ht="12.75" customHeight="1" x14ac:dyDescent="0.3">
      <c r="A264" s="388"/>
      <c r="B264" s="388"/>
      <c r="D264" s="398" t="s">
        <v>373</v>
      </c>
      <c r="E264" s="509"/>
      <c r="F264" s="510"/>
      <c r="G264" s="485">
        <f>887399-153936</f>
        <v>733463</v>
      </c>
      <c r="H264" s="486"/>
      <c r="I264" s="101"/>
      <c r="J264" s="487"/>
      <c r="K264" s="510"/>
      <c r="L264" s="485">
        <v>0</v>
      </c>
      <c r="M264" s="486"/>
      <c r="N264" s="101"/>
      <c r="O264" s="487"/>
      <c r="P264" s="510"/>
      <c r="Q264" s="485">
        <v>0</v>
      </c>
      <c r="R264" s="486"/>
      <c r="S264" s="101"/>
      <c r="T264" s="487"/>
      <c r="U264" s="510"/>
      <c r="V264" s="485">
        <v>0</v>
      </c>
      <c r="W264" s="486"/>
      <c r="X264" s="101"/>
      <c r="Y264" s="487"/>
      <c r="Z264" s="510"/>
      <c r="AA264" s="485">
        <v>0</v>
      </c>
      <c r="AB264" s="486"/>
      <c r="AC264" s="101"/>
      <c r="AD264" s="487"/>
      <c r="AE264" s="510"/>
      <c r="AF264" s="485">
        <v>0</v>
      </c>
      <c r="AG264" s="486"/>
      <c r="AH264" s="101"/>
      <c r="AI264" s="487"/>
      <c r="AJ264" s="510"/>
      <c r="AK264" s="485">
        <v>0</v>
      </c>
      <c r="AL264" s="486"/>
      <c r="AM264" s="101"/>
      <c r="AN264" s="487"/>
      <c r="AO264" s="510"/>
      <c r="AP264" s="485">
        <v>0</v>
      </c>
      <c r="AQ264" s="486"/>
      <c r="AR264" s="101"/>
      <c r="AS264" s="487"/>
      <c r="AT264" s="510"/>
      <c r="AU264" s="485">
        <v>0</v>
      </c>
      <c r="AV264" s="486"/>
      <c r="AW264" s="101"/>
      <c r="AX264" s="487"/>
      <c r="AY264" s="510"/>
      <c r="AZ264" s="485">
        <v>0</v>
      </c>
      <c r="BA264" s="486"/>
      <c r="BB264" s="101"/>
      <c r="BC264" s="487"/>
      <c r="BD264" s="510"/>
      <c r="BE264" s="485">
        <v>0</v>
      </c>
      <c r="BF264" s="486"/>
      <c r="BG264" s="101"/>
      <c r="BH264" s="487"/>
      <c r="BI264" s="510"/>
      <c r="BJ264" s="485">
        <f>1808338-308946</f>
        <v>1499392</v>
      </c>
      <c r="BK264" s="486"/>
      <c r="BL264" s="101"/>
      <c r="BM264" s="487"/>
      <c r="BN264" s="510"/>
      <c r="BO264" s="485">
        <v>0</v>
      </c>
      <c r="BP264" s="486"/>
      <c r="BQ264" s="101"/>
      <c r="BR264" s="487"/>
      <c r="BS264" s="510"/>
      <c r="BT264" s="485">
        <f>SUM(L264:BO264)</f>
        <v>1499392</v>
      </c>
      <c r="BU264" s="486"/>
      <c r="BV264" s="101"/>
      <c r="BW264" s="398"/>
      <c r="BZ264" s="411"/>
      <c r="CA264" s="411"/>
    </row>
    <row r="265" spans="1:79" ht="12.75" customHeight="1" x14ac:dyDescent="0.3">
      <c r="A265" s="388"/>
      <c r="B265" s="388"/>
      <c r="D265" s="398" t="s">
        <v>375</v>
      </c>
      <c r="E265" s="509"/>
      <c r="F265" s="480"/>
      <c r="G265" s="101">
        <v>153936</v>
      </c>
      <c r="H265" s="49"/>
      <c r="I265" s="101"/>
      <c r="J265" s="487"/>
      <c r="K265" s="480"/>
      <c r="L265" s="101">
        <v>0</v>
      </c>
      <c r="M265" s="49"/>
      <c r="N265" s="101"/>
      <c r="O265" s="487"/>
      <c r="P265" s="480"/>
      <c r="Q265" s="101">
        <v>0</v>
      </c>
      <c r="R265" s="49"/>
      <c r="S265" s="101"/>
      <c r="T265" s="487"/>
      <c r="U265" s="480"/>
      <c r="V265" s="101">
        <v>0</v>
      </c>
      <c r="W265" s="49"/>
      <c r="X265" s="101"/>
      <c r="Y265" s="487"/>
      <c r="Z265" s="480"/>
      <c r="AA265" s="101">
        <v>0</v>
      </c>
      <c r="AB265" s="49"/>
      <c r="AC265" s="101"/>
      <c r="AD265" s="487"/>
      <c r="AE265" s="480"/>
      <c r="AF265" s="101">
        <v>0</v>
      </c>
      <c r="AG265" s="49"/>
      <c r="AH265" s="101"/>
      <c r="AI265" s="487"/>
      <c r="AJ265" s="480"/>
      <c r="AK265" s="101">
        <v>0</v>
      </c>
      <c r="AL265" s="49"/>
      <c r="AM265" s="101"/>
      <c r="AN265" s="487"/>
      <c r="AO265" s="480"/>
      <c r="AP265" s="101">
        <v>0</v>
      </c>
      <c r="AQ265" s="49"/>
      <c r="AR265" s="101"/>
      <c r="AS265" s="487"/>
      <c r="AT265" s="480"/>
      <c r="AU265" s="101">
        <v>0</v>
      </c>
      <c r="AV265" s="49"/>
      <c r="AW265" s="101"/>
      <c r="AX265" s="487"/>
      <c r="AY265" s="480"/>
      <c r="AZ265" s="101">
        <v>0</v>
      </c>
      <c r="BA265" s="49"/>
      <c r="BB265" s="101"/>
      <c r="BC265" s="487"/>
      <c r="BD265" s="480"/>
      <c r="BE265" s="101">
        <v>0</v>
      </c>
      <c r="BF265" s="49"/>
      <c r="BG265" s="101"/>
      <c r="BH265" s="487"/>
      <c r="BI265" s="480"/>
      <c r="BJ265" s="101">
        <v>308946</v>
      </c>
      <c r="BK265" s="49"/>
      <c r="BL265" s="101"/>
      <c r="BM265" s="487"/>
      <c r="BN265" s="480"/>
      <c r="BO265" s="101">
        <v>0</v>
      </c>
      <c r="BP265" s="49"/>
      <c r="BQ265" s="101"/>
      <c r="BR265" s="487"/>
      <c r="BS265" s="480"/>
      <c r="BT265" s="101">
        <f>SUM(L265:BO265)</f>
        <v>308946</v>
      </c>
      <c r="BU265" s="49"/>
      <c r="BV265" s="101"/>
      <c r="BW265" s="398"/>
      <c r="BZ265" s="411"/>
      <c r="CA265" s="411"/>
    </row>
    <row r="266" spans="1:79" ht="12.75" customHeight="1" x14ac:dyDescent="0.3">
      <c r="A266" s="388"/>
      <c r="B266" s="388"/>
      <c r="D266" s="398" t="s">
        <v>383</v>
      </c>
      <c r="E266" s="509"/>
      <c r="F266" s="427"/>
      <c r="G266" s="496">
        <v>0</v>
      </c>
      <c r="H266" s="90"/>
      <c r="I266" s="101"/>
      <c r="J266" s="487"/>
      <c r="K266" s="427"/>
      <c r="L266" s="496">
        <v>0</v>
      </c>
      <c r="M266" s="90"/>
      <c r="N266" s="101"/>
      <c r="O266" s="487"/>
      <c r="P266" s="427"/>
      <c r="Q266" s="496">
        <v>0</v>
      </c>
      <c r="R266" s="90"/>
      <c r="S266" s="101"/>
      <c r="T266" s="487"/>
      <c r="U266" s="427"/>
      <c r="V266" s="496">
        <v>0</v>
      </c>
      <c r="W266" s="90"/>
      <c r="X266" s="101"/>
      <c r="Y266" s="487"/>
      <c r="Z266" s="427"/>
      <c r="AA266" s="496">
        <v>0</v>
      </c>
      <c r="AB266" s="90"/>
      <c r="AC266" s="101"/>
      <c r="AD266" s="487"/>
      <c r="AE266" s="427"/>
      <c r="AF266" s="496">
        <v>0</v>
      </c>
      <c r="AG266" s="90"/>
      <c r="AH266" s="101"/>
      <c r="AI266" s="487"/>
      <c r="AJ266" s="427"/>
      <c r="AK266" s="496">
        <v>0</v>
      </c>
      <c r="AL266" s="90"/>
      <c r="AM266" s="101"/>
      <c r="AN266" s="487"/>
      <c r="AO266" s="427"/>
      <c r="AP266" s="496">
        <v>0</v>
      </c>
      <c r="AQ266" s="90"/>
      <c r="AR266" s="101"/>
      <c r="AS266" s="487"/>
      <c r="AT266" s="497"/>
      <c r="AU266" s="496">
        <v>0</v>
      </c>
      <c r="AV266" s="90"/>
      <c r="AW266" s="101"/>
      <c r="AX266" s="487"/>
      <c r="AY266" s="497"/>
      <c r="AZ266" s="496">
        <v>0</v>
      </c>
      <c r="BA266" s="90"/>
      <c r="BB266" s="101"/>
      <c r="BC266" s="487"/>
      <c r="BD266" s="497"/>
      <c r="BE266" s="496">
        <v>0</v>
      </c>
      <c r="BF266" s="90"/>
      <c r="BG266" s="101"/>
      <c r="BH266" s="487"/>
      <c r="BI266" s="497"/>
      <c r="BJ266" s="496">
        <v>0</v>
      </c>
      <c r="BK266" s="90"/>
      <c r="BL266" s="101"/>
      <c r="BM266" s="487"/>
      <c r="BN266" s="497"/>
      <c r="BO266" s="496">
        <v>0</v>
      </c>
      <c r="BP266" s="90"/>
      <c r="BQ266" s="101"/>
      <c r="BR266" s="487"/>
      <c r="BS266" s="497"/>
      <c r="BT266" s="496">
        <f>SUM(L266:BO266)</f>
        <v>0</v>
      </c>
      <c r="BU266" s="90"/>
      <c r="BV266" s="101"/>
      <c r="BW266" s="398"/>
      <c r="BZ266" s="411"/>
      <c r="CA266" s="411"/>
    </row>
    <row r="267" spans="1:79" ht="12.75" customHeight="1" x14ac:dyDescent="0.3">
      <c r="A267" s="388"/>
      <c r="B267" s="388"/>
      <c r="D267" s="398"/>
      <c r="E267" s="509"/>
      <c r="F267" s="239"/>
      <c r="G267" s="101"/>
      <c r="H267" s="101"/>
      <c r="I267" s="101"/>
      <c r="J267" s="487"/>
      <c r="K267" s="239"/>
      <c r="L267" s="101"/>
      <c r="M267" s="101"/>
      <c r="N267" s="101"/>
      <c r="O267" s="487"/>
      <c r="P267" s="239"/>
      <c r="Q267" s="101"/>
      <c r="R267" s="101"/>
      <c r="S267" s="101"/>
      <c r="T267" s="487"/>
      <c r="U267" s="239"/>
      <c r="V267" s="101"/>
      <c r="W267" s="101"/>
      <c r="X267" s="101"/>
      <c r="Y267" s="487"/>
      <c r="Z267" s="239"/>
      <c r="AA267" s="101"/>
      <c r="AB267" s="101"/>
      <c r="AC267" s="101"/>
      <c r="AD267" s="487"/>
      <c r="AE267" s="239"/>
      <c r="AF267" s="101"/>
      <c r="AG267" s="101"/>
      <c r="AH267" s="101"/>
      <c r="AI267" s="487"/>
      <c r="AJ267" s="239"/>
      <c r="AK267" s="101"/>
      <c r="AL267" s="101"/>
      <c r="AM267" s="101"/>
      <c r="AN267" s="487"/>
      <c r="AO267" s="239"/>
      <c r="AP267" s="101"/>
      <c r="AQ267" s="101"/>
      <c r="AR267" s="101"/>
      <c r="AS267" s="487"/>
      <c r="AT267" s="239"/>
      <c r="AU267" s="101"/>
      <c r="AV267" s="101"/>
      <c r="AW267" s="101"/>
      <c r="AX267" s="487"/>
      <c r="AY267" s="239"/>
      <c r="AZ267" s="101"/>
      <c r="BA267" s="101"/>
      <c r="BB267" s="101"/>
      <c r="BC267" s="487"/>
      <c r="BD267" s="239"/>
      <c r="BE267" s="101"/>
      <c r="BF267" s="101"/>
      <c r="BG267" s="101"/>
      <c r="BH267" s="487"/>
      <c r="BI267" s="239"/>
      <c r="BJ267" s="101"/>
      <c r="BK267" s="101"/>
      <c r="BL267" s="101"/>
      <c r="BM267" s="487"/>
      <c r="BN267" s="239"/>
      <c r="BO267" s="101"/>
      <c r="BP267" s="101"/>
      <c r="BQ267" s="101"/>
      <c r="BR267" s="487"/>
      <c r="BS267" s="239"/>
      <c r="BT267" s="101"/>
      <c r="BU267" s="101"/>
      <c r="BV267" s="101"/>
      <c r="BW267" s="398"/>
      <c r="BZ267" s="411"/>
      <c r="CA267" s="411"/>
    </row>
    <row r="268" spans="1:79" ht="12.75" customHeight="1" x14ac:dyDescent="0.3">
      <c r="A268" s="388"/>
      <c r="B268" s="388"/>
      <c r="D268" s="398" t="s">
        <v>430</v>
      </c>
      <c r="F268" s="388"/>
      <c r="G268" s="101">
        <f>SUM(G269:G271)</f>
        <v>377760</v>
      </c>
      <c r="H268" s="101"/>
      <c r="I268" s="101"/>
      <c r="J268" s="487"/>
      <c r="K268" s="101"/>
      <c r="L268" s="101">
        <f>SUM(L269:L271)</f>
        <v>0</v>
      </c>
      <c r="M268" s="101"/>
      <c r="N268" s="101"/>
      <c r="O268" s="487"/>
      <c r="P268" s="101"/>
      <c r="Q268" s="101">
        <f>SUM(Q269:Q271)</f>
        <v>0</v>
      </c>
      <c r="R268" s="101"/>
      <c r="S268" s="101"/>
      <c r="T268" s="487"/>
      <c r="U268" s="101"/>
      <c r="V268" s="101">
        <f>SUM(V269:V271)</f>
        <v>0</v>
      </c>
      <c r="W268" s="101"/>
      <c r="X268" s="101"/>
      <c r="Y268" s="487"/>
      <c r="Z268" s="101"/>
      <c r="AA268" s="101">
        <f>SUM(AA269:AA271)</f>
        <v>0</v>
      </c>
      <c r="AB268" s="101"/>
      <c r="AC268" s="101"/>
      <c r="AD268" s="487"/>
      <c r="AE268" s="101"/>
      <c r="AF268" s="101">
        <f>SUM(AF269:AF271)</f>
        <v>0</v>
      </c>
      <c r="AG268" s="101"/>
      <c r="AH268" s="101"/>
      <c r="AI268" s="487"/>
      <c r="AJ268" s="101"/>
      <c r="AK268" s="101">
        <f>SUM(AK269:AK271)</f>
        <v>0</v>
      </c>
      <c r="AL268" s="101"/>
      <c r="AM268" s="101"/>
      <c r="AN268" s="487"/>
      <c r="AO268" s="101"/>
      <c r="AP268" s="101">
        <f>SUM(AP269:AP271)</f>
        <v>0</v>
      </c>
      <c r="AQ268" s="101"/>
      <c r="AR268" s="101"/>
      <c r="AS268" s="487"/>
      <c r="AT268" s="101"/>
      <c r="AU268" s="101">
        <f>SUM(AU269:AU271)</f>
        <v>0</v>
      </c>
      <c r="AV268" s="101"/>
      <c r="AW268" s="101"/>
      <c r="AX268" s="487"/>
      <c r="AY268" s="101"/>
      <c r="AZ268" s="101">
        <f>SUM(AZ269:AZ271)</f>
        <v>0</v>
      </c>
      <c r="BA268" s="101"/>
      <c r="BB268" s="101"/>
      <c r="BC268" s="487"/>
      <c r="BD268" s="101"/>
      <c r="BE268" s="101">
        <f>SUM(BE269:BE271)</f>
        <v>0</v>
      </c>
      <c r="BF268" s="101"/>
      <c r="BG268" s="101"/>
      <c r="BH268" s="487"/>
      <c r="BI268" s="101"/>
      <c r="BJ268" s="101">
        <f>SUM(BJ269:BJ271)</f>
        <v>377760</v>
      </c>
      <c r="BK268" s="101"/>
      <c r="BL268" s="101"/>
      <c r="BM268" s="487"/>
      <c r="BN268" s="101"/>
      <c r="BO268" s="101">
        <f>SUM(BO269:BO271)</f>
        <v>0</v>
      </c>
      <c r="BP268" s="101"/>
      <c r="BQ268" s="101"/>
      <c r="BR268" s="487"/>
      <c r="BS268" s="101"/>
      <c r="BT268" s="101">
        <f>SUM(BT269:BT271)</f>
        <v>377760</v>
      </c>
      <c r="BU268" s="101"/>
      <c r="BV268" s="101"/>
      <c r="BW268" s="398"/>
      <c r="BZ268" s="411"/>
      <c r="CA268" s="411"/>
    </row>
    <row r="269" spans="1:79" ht="12.75" customHeight="1" x14ac:dyDescent="0.3">
      <c r="A269" s="388"/>
      <c r="B269" s="388"/>
      <c r="D269" s="398" t="s">
        <v>373</v>
      </c>
      <c r="F269" s="412"/>
      <c r="G269" s="485">
        <f>377760-16605</f>
        <v>361155</v>
      </c>
      <c r="H269" s="486"/>
      <c r="I269" s="101"/>
      <c r="J269" s="487"/>
      <c r="K269" s="412"/>
      <c r="L269" s="485">
        <v>0</v>
      </c>
      <c r="M269" s="486"/>
      <c r="N269" s="101"/>
      <c r="O269" s="487"/>
      <c r="P269" s="412"/>
      <c r="Q269" s="485">
        <v>0</v>
      </c>
      <c r="R269" s="486"/>
      <c r="S269" s="101"/>
      <c r="T269" s="487"/>
      <c r="U269" s="412"/>
      <c r="V269" s="485">
        <v>0</v>
      </c>
      <c r="W269" s="486"/>
      <c r="X269" s="101"/>
      <c r="Y269" s="487"/>
      <c r="Z269" s="412"/>
      <c r="AA269" s="485">
        <v>0</v>
      </c>
      <c r="AB269" s="486"/>
      <c r="AC269" s="101"/>
      <c r="AD269" s="487"/>
      <c r="AE269" s="412"/>
      <c r="AF269" s="485">
        <v>0</v>
      </c>
      <c r="AG269" s="486"/>
      <c r="AH269" s="101"/>
      <c r="AI269" s="487"/>
      <c r="AJ269" s="412"/>
      <c r="AK269" s="485">
        <v>0</v>
      </c>
      <c r="AL269" s="486"/>
      <c r="AM269" s="101"/>
      <c r="AN269" s="487"/>
      <c r="AO269" s="412"/>
      <c r="AP269" s="485">
        <v>0</v>
      </c>
      <c r="AQ269" s="486"/>
      <c r="AR269" s="101"/>
      <c r="AS269" s="487"/>
      <c r="AT269" s="488"/>
      <c r="AU269" s="485">
        <v>0</v>
      </c>
      <c r="AV269" s="486"/>
      <c r="AW269" s="101"/>
      <c r="AX269" s="487"/>
      <c r="AY269" s="488"/>
      <c r="AZ269" s="485">
        <v>0</v>
      </c>
      <c r="BA269" s="486"/>
      <c r="BB269" s="101"/>
      <c r="BC269" s="487"/>
      <c r="BD269" s="488"/>
      <c r="BE269" s="485">
        <v>0</v>
      </c>
      <c r="BF269" s="486"/>
      <c r="BG269" s="101"/>
      <c r="BH269" s="487"/>
      <c r="BI269" s="488"/>
      <c r="BJ269" s="485">
        <f>377760-16605</f>
        <v>361155</v>
      </c>
      <c r="BK269" s="486"/>
      <c r="BL269" s="101"/>
      <c r="BM269" s="487"/>
      <c r="BN269" s="488"/>
      <c r="BO269" s="485">
        <v>0</v>
      </c>
      <c r="BP269" s="486"/>
      <c r="BQ269" s="101"/>
      <c r="BR269" s="487"/>
      <c r="BS269" s="488"/>
      <c r="BT269" s="485">
        <f>SUM(L269:BO269)</f>
        <v>361155</v>
      </c>
      <c r="BU269" s="486"/>
      <c r="BV269" s="101"/>
      <c r="BW269" s="398"/>
      <c r="BZ269" s="411"/>
      <c r="CA269" s="411"/>
    </row>
    <row r="270" spans="1:79" ht="12.75" customHeight="1" x14ac:dyDescent="0.3">
      <c r="A270" s="388"/>
      <c r="B270" s="388"/>
      <c r="D270" s="398" t="s">
        <v>375</v>
      </c>
      <c r="F270" s="404"/>
      <c r="G270" s="101">
        <v>16605</v>
      </c>
      <c r="H270" s="49"/>
      <c r="I270" s="101"/>
      <c r="J270" s="487"/>
      <c r="K270" s="404"/>
      <c r="L270" s="101">
        <v>0</v>
      </c>
      <c r="M270" s="49"/>
      <c r="N270" s="101"/>
      <c r="O270" s="487"/>
      <c r="P270" s="404"/>
      <c r="Q270" s="101">
        <v>0</v>
      </c>
      <c r="R270" s="49"/>
      <c r="S270" s="101"/>
      <c r="T270" s="487"/>
      <c r="U270" s="404"/>
      <c r="V270" s="101">
        <v>0</v>
      </c>
      <c r="W270" s="49"/>
      <c r="X270" s="101"/>
      <c r="Y270" s="487"/>
      <c r="Z270" s="404"/>
      <c r="AA270" s="101">
        <v>0</v>
      </c>
      <c r="AB270" s="49"/>
      <c r="AC270" s="101"/>
      <c r="AD270" s="487"/>
      <c r="AE270" s="404"/>
      <c r="AF270" s="101">
        <v>0</v>
      </c>
      <c r="AG270" s="49"/>
      <c r="AH270" s="101"/>
      <c r="AI270" s="487"/>
      <c r="AJ270" s="404"/>
      <c r="AK270" s="101">
        <v>0</v>
      </c>
      <c r="AL270" s="49"/>
      <c r="AM270" s="101"/>
      <c r="AN270" s="487"/>
      <c r="AO270" s="404"/>
      <c r="AP270" s="101">
        <v>0</v>
      </c>
      <c r="AQ270" s="49"/>
      <c r="AR270" s="101"/>
      <c r="AS270" s="487"/>
      <c r="AT270" s="487"/>
      <c r="AU270" s="101">
        <v>0</v>
      </c>
      <c r="AV270" s="49"/>
      <c r="AW270" s="101"/>
      <c r="AX270" s="487"/>
      <c r="AY270" s="487"/>
      <c r="AZ270" s="101">
        <v>0</v>
      </c>
      <c r="BA270" s="49"/>
      <c r="BB270" s="101"/>
      <c r="BC270" s="487"/>
      <c r="BD270" s="487"/>
      <c r="BE270" s="101">
        <v>0</v>
      </c>
      <c r="BF270" s="49"/>
      <c r="BG270" s="101"/>
      <c r="BH270" s="487"/>
      <c r="BI270" s="487"/>
      <c r="BJ270" s="101">
        <v>16605</v>
      </c>
      <c r="BK270" s="49"/>
      <c r="BL270" s="101"/>
      <c r="BM270" s="487"/>
      <c r="BN270" s="487"/>
      <c r="BO270" s="101">
        <v>0</v>
      </c>
      <c r="BP270" s="49"/>
      <c r="BQ270" s="101"/>
      <c r="BR270" s="487"/>
      <c r="BS270" s="487"/>
      <c r="BT270" s="101">
        <f>SUM(L270:BO270)</f>
        <v>16605</v>
      </c>
      <c r="BU270" s="49"/>
      <c r="BV270" s="101"/>
      <c r="BW270" s="398"/>
      <c r="BZ270" s="411"/>
      <c r="CA270" s="411"/>
    </row>
    <row r="271" spans="1:79" ht="12.75" customHeight="1" x14ac:dyDescent="0.3">
      <c r="A271" s="388"/>
      <c r="B271" s="388"/>
      <c r="D271" s="398" t="s">
        <v>376</v>
      </c>
      <c r="F271" s="427"/>
      <c r="G271" s="496">
        <v>0</v>
      </c>
      <c r="H271" s="90"/>
      <c r="I271" s="101"/>
      <c r="J271" s="487"/>
      <c r="K271" s="427"/>
      <c r="L271" s="496">
        <v>0</v>
      </c>
      <c r="M271" s="90"/>
      <c r="N271" s="101"/>
      <c r="O271" s="487"/>
      <c r="P271" s="427"/>
      <c r="Q271" s="496">
        <v>0</v>
      </c>
      <c r="R271" s="90"/>
      <c r="S271" s="101"/>
      <c r="T271" s="487"/>
      <c r="U271" s="427"/>
      <c r="V271" s="496">
        <v>0</v>
      </c>
      <c r="W271" s="90"/>
      <c r="X271" s="101"/>
      <c r="Y271" s="487"/>
      <c r="Z271" s="427"/>
      <c r="AA271" s="496">
        <v>0</v>
      </c>
      <c r="AB271" s="90"/>
      <c r="AC271" s="101"/>
      <c r="AD271" s="487"/>
      <c r="AE271" s="427"/>
      <c r="AF271" s="496">
        <v>0</v>
      </c>
      <c r="AG271" s="90"/>
      <c r="AH271" s="101"/>
      <c r="AI271" s="487"/>
      <c r="AJ271" s="427"/>
      <c r="AK271" s="496">
        <v>0</v>
      </c>
      <c r="AL271" s="90"/>
      <c r="AM271" s="101"/>
      <c r="AN271" s="487"/>
      <c r="AO271" s="427"/>
      <c r="AP271" s="496">
        <v>0</v>
      </c>
      <c r="AQ271" s="90"/>
      <c r="AR271" s="101"/>
      <c r="AS271" s="487"/>
      <c r="AT271" s="497"/>
      <c r="AU271" s="496">
        <v>0</v>
      </c>
      <c r="AV271" s="90"/>
      <c r="AW271" s="101"/>
      <c r="AX271" s="487"/>
      <c r="AY271" s="497"/>
      <c r="AZ271" s="496">
        <v>0</v>
      </c>
      <c r="BA271" s="90"/>
      <c r="BB271" s="101"/>
      <c r="BC271" s="487"/>
      <c r="BD271" s="497"/>
      <c r="BE271" s="496">
        <v>0</v>
      </c>
      <c r="BF271" s="90"/>
      <c r="BG271" s="101"/>
      <c r="BH271" s="487"/>
      <c r="BI271" s="497"/>
      <c r="BJ271" s="496">
        <v>0</v>
      </c>
      <c r="BK271" s="90"/>
      <c r="BL271" s="101"/>
      <c r="BM271" s="487"/>
      <c r="BN271" s="497"/>
      <c r="BO271" s="496">
        <v>0</v>
      </c>
      <c r="BP271" s="90"/>
      <c r="BQ271" s="101"/>
      <c r="BR271" s="487"/>
      <c r="BS271" s="497"/>
      <c r="BT271" s="496">
        <f>SUM(L271:BO271)</f>
        <v>0</v>
      </c>
      <c r="BU271" s="90"/>
      <c r="BV271" s="101"/>
      <c r="BW271" s="398"/>
      <c r="BZ271" s="411"/>
      <c r="CA271" s="411"/>
    </row>
    <row r="272" spans="1:79" ht="12.75" customHeight="1" x14ac:dyDescent="0.3">
      <c r="A272" s="388"/>
      <c r="B272" s="388"/>
      <c r="D272" s="398"/>
      <c r="F272" s="388"/>
      <c r="G272" s="101"/>
      <c r="H272" s="101"/>
      <c r="I272" s="101"/>
      <c r="J272" s="487"/>
      <c r="K272" s="388"/>
      <c r="L272" s="101"/>
      <c r="M272" s="101"/>
      <c r="N272" s="101"/>
      <c r="O272" s="487"/>
      <c r="P272" s="388"/>
      <c r="Q272" s="101"/>
      <c r="R272" s="101"/>
      <c r="S272" s="101"/>
      <c r="T272" s="487"/>
      <c r="U272" s="388"/>
      <c r="V272" s="101"/>
      <c r="W272" s="101"/>
      <c r="X272" s="101"/>
      <c r="Y272" s="487"/>
      <c r="Z272" s="388"/>
      <c r="AA272" s="101"/>
      <c r="AB272" s="101"/>
      <c r="AC272" s="101"/>
      <c r="AD272" s="487"/>
      <c r="AE272" s="388"/>
      <c r="AF272" s="101"/>
      <c r="AG272" s="101"/>
      <c r="AH272" s="101"/>
      <c r="AI272" s="487"/>
      <c r="AJ272" s="388"/>
      <c r="AK272" s="101"/>
      <c r="AL272" s="101"/>
      <c r="AM272" s="101"/>
      <c r="AN272" s="487"/>
      <c r="AO272" s="388"/>
      <c r="AP272" s="101"/>
      <c r="AQ272" s="101"/>
      <c r="AR272" s="101"/>
      <c r="AS272" s="487"/>
      <c r="AT272" s="101"/>
      <c r="AU272" s="101"/>
      <c r="AV272" s="101"/>
      <c r="AW272" s="101"/>
      <c r="AX272" s="487"/>
      <c r="AY272" s="101"/>
      <c r="AZ272" s="101"/>
      <c r="BA272" s="101"/>
      <c r="BB272" s="101"/>
      <c r="BC272" s="487"/>
      <c r="BD272" s="101"/>
      <c r="BE272" s="101"/>
      <c r="BF272" s="101"/>
      <c r="BG272" s="101"/>
      <c r="BH272" s="487"/>
      <c r="BI272" s="101"/>
      <c r="BJ272" s="101"/>
      <c r="BK272" s="101"/>
      <c r="BL272" s="101"/>
      <c r="BM272" s="487"/>
      <c r="BN272" s="101"/>
      <c r="BO272" s="101"/>
      <c r="BP272" s="101"/>
      <c r="BQ272" s="101"/>
      <c r="BR272" s="487"/>
      <c r="BS272" s="101"/>
      <c r="BT272" s="101"/>
      <c r="BU272" s="101"/>
      <c r="BV272" s="101"/>
      <c r="BW272" s="398"/>
      <c r="BZ272" s="411"/>
      <c r="CA272" s="411"/>
    </row>
    <row r="273" spans="1:79" ht="12.75" customHeight="1" x14ac:dyDescent="0.3">
      <c r="A273" s="388"/>
      <c r="B273" s="388"/>
      <c r="D273" s="398" t="s">
        <v>431</v>
      </c>
      <c r="E273" s="509"/>
      <c r="F273" s="388"/>
      <c r="G273" s="101">
        <f>SUM(G274:G276)</f>
        <v>187871</v>
      </c>
      <c r="H273" s="101"/>
      <c r="I273" s="101"/>
      <c r="J273" s="487"/>
      <c r="K273" s="388"/>
      <c r="L273" s="101">
        <f>SUM(L274:L276)</f>
        <v>0</v>
      </c>
      <c r="M273" s="101"/>
      <c r="N273" s="101"/>
      <c r="O273" s="487"/>
      <c r="P273" s="388"/>
      <c r="Q273" s="101">
        <f>SUM(Q274:Q276)</f>
        <v>0</v>
      </c>
      <c r="R273" s="101"/>
      <c r="S273" s="101"/>
      <c r="T273" s="487"/>
      <c r="U273" s="388"/>
      <c r="V273" s="101">
        <f>SUM(V274:V276)</f>
        <v>0</v>
      </c>
      <c r="W273" s="101"/>
      <c r="X273" s="101"/>
      <c r="Y273" s="487"/>
      <c r="Z273" s="388"/>
      <c r="AA273" s="101">
        <f>SUM(AA274:AA276)</f>
        <v>0</v>
      </c>
      <c r="AB273" s="101"/>
      <c r="AC273" s="101"/>
      <c r="AD273" s="487"/>
      <c r="AE273" s="388"/>
      <c r="AF273" s="101">
        <f>SUM(AF274:AF276)</f>
        <v>0</v>
      </c>
      <c r="AG273" s="101"/>
      <c r="AH273" s="101"/>
      <c r="AI273" s="487"/>
      <c r="AJ273" s="388"/>
      <c r="AK273" s="101">
        <f>SUM(AK274:AK276)</f>
        <v>0</v>
      </c>
      <c r="AL273" s="101"/>
      <c r="AM273" s="101"/>
      <c r="AN273" s="487"/>
      <c r="AO273" s="388"/>
      <c r="AP273" s="101">
        <f>SUM(AP274:AP276)</f>
        <v>0</v>
      </c>
      <c r="AQ273" s="101"/>
      <c r="AR273" s="101"/>
      <c r="AS273" s="487"/>
      <c r="AT273" s="388"/>
      <c r="AU273" s="101">
        <f>SUM(AU274:AU276)</f>
        <v>0</v>
      </c>
      <c r="AV273" s="101"/>
      <c r="AW273" s="101"/>
      <c r="AX273" s="487"/>
      <c r="AY273" s="388"/>
      <c r="AZ273" s="101">
        <f>SUM(AZ274:AZ276)</f>
        <v>0</v>
      </c>
      <c r="BA273" s="101"/>
      <c r="BB273" s="101"/>
      <c r="BC273" s="487"/>
      <c r="BD273" s="388"/>
      <c r="BE273" s="101">
        <f>SUM(BE274:BE276)</f>
        <v>0</v>
      </c>
      <c r="BF273" s="101"/>
      <c r="BG273" s="101"/>
      <c r="BH273" s="487"/>
      <c r="BI273" s="388"/>
      <c r="BJ273" s="101">
        <f>SUM(BJ274:BJ276)</f>
        <v>800109</v>
      </c>
      <c r="BK273" s="101"/>
      <c r="BL273" s="101"/>
      <c r="BM273" s="487"/>
      <c r="BN273" s="388"/>
      <c r="BO273" s="101">
        <f>SUM(BO274:BO276)</f>
        <v>0</v>
      </c>
      <c r="BP273" s="101"/>
      <c r="BQ273" s="101"/>
      <c r="BR273" s="487"/>
      <c r="BS273" s="388"/>
      <c r="BT273" s="101">
        <f>SUM(BT274:BT276)</f>
        <v>800109</v>
      </c>
      <c r="BU273" s="101"/>
      <c r="BV273" s="101"/>
      <c r="BW273" s="398"/>
      <c r="BZ273" s="411"/>
      <c r="CA273" s="411"/>
    </row>
    <row r="274" spans="1:79" ht="12.75" customHeight="1" x14ac:dyDescent="0.3">
      <c r="A274" s="388"/>
      <c r="B274" s="388"/>
      <c r="D274" s="398" t="s">
        <v>373</v>
      </c>
      <c r="E274" s="509"/>
      <c r="F274" s="412"/>
      <c r="G274" s="485">
        <f>187871-17993</f>
        <v>169878</v>
      </c>
      <c r="H274" s="486"/>
      <c r="I274" s="101"/>
      <c r="J274" s="487"/>
      <c r="K274" s="412"/>
      <c r="L274" s="485">
        <v>0</v>
      </c>
      <c r="M274" s="486"/>
      <c r="N274" s="101"/>
      <c r="O274" s="487"/>
      <c r="P274" s="412"/>
      <c r="Q274" s="485">
        <v>0</v>
      </c>
      <c r="R274" s="486"/>
      <c r="S274" s="101"/>
      <c r="T274" s="487"/>
      <c r="U274" s="412"/>
      <c r="V274" s="485">
        <v>0</v>
      </c>
      <c r="W274" s="486"/>
      <c r="X274" s="101"/>
      <c r="Y274" s="487"/>
      <c r="Z274" s="412"/>
      <c r="AA274" s="485">
        <v>0</v>
      </c>
      <c r="AB274" s="486"/>
      <c r="AC274" s="101"/>
      <c r="AD274" s="487"/>
      <c r="AE274" s="412"/>
      <c r="AF274" s="485">
        <v>0</v>
      </c>
      <c r="AG274" s="486"/>
      <c r="AH274" s="101"/>
      <c r="AI274" s="487"/>
      <c r="AJ274" s="412"/>
      <c r="AK274" s="485">
        <v>0</v>
      </c>
      <c r="AL274" s="486"/>
      <c r="AM274" s="101"/>
      <c r="AN274" s="487"/>
      <c r="AO274" s="412"/>
      <c r="AP274" s="485">
        <v>0</v>
      </c>
      <c r="AQ274" s="486"/>
      <c r="AR274" s="101"/>
      <c r="AS274" s="487"/>
      <c r="AT274" s="412"/>
      <c r="AU274" s="485">
        <v>0</v>
      </c>
      <c r="AV274" s="486"/>
      <c r="AW274" s="101"/>
      <c r="AX274" s="487"/>
      <c r="AY274" s="412"/>
      <c r="AZ274" s="485">
        <v>0</v>
      </c>
      <c r="BA274" s="486"/>
      <c r="BB274" s="101"/>
      <c r="BC274" s="487"/>
      <c r="BD274" s="412"/>
      <c r="BE274" s="485">
        <v>0</v>
      </c>
      <c r="BF274" s="486"/>
      <c r="BG274" s="101"/>
      <c r="BH274" s="487"/>
      <c r="BI274" s="412"/>
      <c r="BJ274" s="485">
        <f>800109-70223</f>
        <v>729886</v>
      </c>
      <c r="BK274" s="486"/>
      <c r="BL274" s="101"/>
      <c r="BM274" s="487"/>
      <c r="BN274" s="412"/>
      <c r="BO274" s="485">
        <v>0</v>
      </c>
      <c r="BP274" s="486"/>
      <c r="BQ274" s="101"/>
      <c r="BR274" s="487"/>
      <c r="BS274" s="412"/>
      <c r="BT274" s="485">
        <f>SUM(L274:BO274)</f>
        <v>729886</v>
      </c>
      <c r="BU274" s="486"/>
      <c r="BV274" s="101"/>
      <c r="BW274" s="398"/>
      <c r="BZ274" s="411"/>
      <c r="CA274" s="411"/>
    </row>
    <row r="275" spans="1:79" ht="12.75" customHeight="1" x14ac:dyDescent="0.3">
      <c r="A275" s="388"/>
      <c r="B275" s="388"/>
      <c r="D275" s="398" t="s">
        <v>375</v>
      </c>
      <c r="E275" s="509"/>
      <c r="F275" s="404"/>
      <c r="G275" s="101">
        <v>17993</v>
      </c>
      <c r="H275" s="49"/>
      <c r="I275" s="101"/>
      <c r="J275" s="487"/>
      <c r="K275" s="404"/>
      <c r="L275" s="101">
        <v>0</v>
      </c>
      <c r="M275" s="49"/>
      <c r="N275" s="101"/>
      <c r="O275" s="487"/>
      <c r="P275" s="404"/>
      <c r="Q275" s="101">
        <v>0</v>
      </c>
      <c r="R275" s="49"/>
      <c r="S275" s="101"/>
      <c r="T275" s="487"/>
      <c r="U275" s="404"/>
      <c r="V275" s="101">
        <v>0</v>
      </c>
      <c r="W275" s="49"/>
      <c r="X275" s="101"/>
      <c r="Y275" s="487"/>
      <c r="Z275" s="404"/>
      <c r="AA275" s="101">
        <v>0</v>
      </c>
      <c r="AB275" s="49"/>
      <c r="AC275" s="101"/>
      <c r="AD275" s="487"/>
      <c r="AE275" s="404"/>
      <c r="AF275" s="101">
        <v>0</v>
      </c>
      <c r="AG275" s="49"/>
      <c r="AH275" s="101"/>
      <c r="AI275" s="487"/>
      <c r="AJ275" s="404"/>
      <c r="AK275" s="101">
        <v>0</v>
      </c>
      <c r="AL275" s="49"/>
      <c r="AM275" s="101"/>
      <c r="AN275" s="487"/>
      <c r="AO275" s="404"/>
      <c r="AP275" s="101">
        <v>0</v>
      </c>
      <c r="AQ275" s="49"/>
      <c r="AR275" s="101"/>
      <c r="AS275" s="487"/>
      <c r="AT275" s="404"/>
      <c r="AU275" s="101">
        <v>0</v>
      </c>
      <c r="AV275" s="49"/>
      <c r="AW275" s="101"/>
      <c r="AX275" s="487"/>
      <c r="AY275" s="404"/>
      <c r="AZ275" s="101">
        <v>0</v>
      </c>
      <c r="BA275" s="49"/>
      <c r="BB275" s="101"/>
      <c r="BC275" s="487"/>
      <c r="BD275" s="404"/>
      <c r="BE275" s="101">
        <v>0</v>
      </c>
      <c r="BF275" s="49"/>
      <c r="BG275" s="101"/>
      <c r="BH275" s="487"/>
      <c r="BI275" s="404"/>
      <c r="BJ275" s="101">
        <v>70223</v>
      </c>
      <c r="BK275" s="49"/>
      <c r="BL275" s="101"/>
      <c r="BM275" s="487"/>
      <c r="BN275" s="404"/>
      <c r="BO275" s="101">
        <v>0</v>
      </c>
      <c r="BP275" s="49"/>
      <c r="BQ275" s="101"/>
      <c r="BR275" s="487"/>
      <c r="BS275" s="404"/>
      <c r="BT275" s="101">
        <f>SUM(L275:BO275)</f>
        <v>70223</v>
      </c>
      <c r="BU275" s="49"/>
      <c r="BV275" s="101"/>
      <c r="BW275" s="398"/>
      <c r="BZ275" s="411"/>
      <c r="CA275" s="411"/>
    </row>
    <row r="276" spans="1:79" ht="12.75" customHeight="1" x14ac:dyDescent="0.3">
      <c r="A276" s="388"/>
      <c r="B276" s="388"/>
      <c r="D276" s="398" t="s">
        <v>376</v>
      </c>
      <c r="E276" s="509"/>
      <c r="F276" s="427"/>
      <c r="G276" s="496">
        <v>0</v>
      </c>
      <c r="H276" s="90"/>
      <c r="I276" s="101"/>
      <c r="J276" s="487"/>
      <c r="K276" s="427"/>
      <c r="L276" s="496">
        <v>0</v>
      </c>
      <c r="M276" s="90"/>
      <c r="N276" s="101"/>
      <c r="O276" s="487"/>
      <c r="P276" s="427"/>
      <c r="Q276" s="496">
        <v>0</v>
      </c>
      <c r="R276" s="90"/>
      <c r="S276" s="101"/>
      <c r="T276" s="487"/>
      <c r="U276" s="427"/>
      <c r="V276" s="496">
        <v>0</v>
      </c>
      <c r="W276" s="90"/>
      <c r="X276" s="101"/>
      <c r="Y276" s="487"/>
      <c r="Z276" s="427"/>
      <c r="AA276" s="496">
        <v>0</v>
      </c>
      <c r="AB276" s="90"/>
      <c r="AC276" s="101"/>
      <c r="AD276" s="487"/>
      <c r="AE276" s="427"/>
      <c r="AF276" s="496">
        <v>0</v>
      </c>
      <c r="AG276" s="90"/>
      <c r="AH276" s="101"/>
      <c r="AI276" s="487"/>
      <c r="AJ276" s="427"/>
      <c r="AK276" s="496">
        <v>0</v>
      </c>
      <c r="AL276" s="90"/>
      <c r="AM276" s="101"/>
      <c r="AN276" s="487"/>
      <c r="AO276" s="427"/>
      <c r="AP276" s="496">
        <v>0</v>
      </c>
      <c r="AQ276" s="90"/>
      <c r="AR276" s="101"/>
      <c r="AS276" s="487"/>
      <c r="AT276" s="427"/>
      <c r="AU276" s="496">
        <v>0</v>
      </c>
      <c r="AV276" s="90"/>
      <c r="AW276" s="101"/>
      <c r="AX276" s="487"/>
      <c r="AY276" s="427"/>
      <c r="AZ276" s="496">
        <v>0</v>
      </c>
      <c r="BA276" s="90"/>
      <c r="BB276" s="101"/>
      <c r="BC276" s="487"/>
      <c r="BD276" s="427"/>
      <c r="BE276" s="496">
        <v>0</v>
      </c>
      <c r="BF276" s="90"/>
      <c r="BG276" s="101"/>
      <c r="BH276" s="487"/>
      <c r="BI276" s="427"/>
      <c r="BJ276" s="496">
        <v>0</v>
      </c>
      <c r="BK276" s="90"/>
      <c r="BL276" s="101"/>
      <c r="BM276" s="487"/>
      <c r="BN276" s="427"/>
      <c r="BO276" s="496">
        <v>0</v>
      </c>
      <c r="BP276" s="90"/>
      <c r="BQ276" s="101"/>
      <c r="BR276" s="487"/>
      <c r="BS276" s="427"/>
      <c r="BT276" s="496">
        <f>SUM(L276:BO276)</f>
        <v>0</v>
      </c>
      <c r="BU276" s="90"/>
      <c r="BV276" s="101"/>
      <c r="BW276" s="398"/>
      <c r="BZ276" s="411"/>
      <c r="CA276" s="411"/>
    </row>
    <row r="277" spans="1:79" ht="12.75" customHeight="1" x14ac:dyDescent="0.3">
      <c r="A277" s="388"/>
      <c r="B277" s="388"/>
      <c r="D277" s="398"/>
      <c r="E277" s="509"/>
      <c r="F277" s="388"/>
      <c r="G277" s="101"/>
      <c r="H277" s="101"/>
      <c r="I277" s="101"/>
      <c r="J277" s="487"/>
      <c r="K277" s="388"/>
      <c r="L277" s="101"/>
      <c r="M277" s="101"/>
      <c r="N277" s="101"/>
      <c r="O277" s="487"/>
      <c r="P277" s="388"/>
      <c r="Q277" s="101"/>
      <c r="R277" s="101"/>
      <c r="S277" s="101"/>
      <c r="T277" s="487"/>
      <c r="U277" s="388"/>
      <c r="V277" s="101"/>
      <c r="W277" s="101"/>
      <c r="X277" s="101"/>
      <c r="Y277" s="487"/>
      <c r="Z277" s="388"/>
      <c r="AA277" s="101"/>
      <c r="AB277" s="101"/>
      <c r="AC277" s="101"/>
      <c r="AD277" s="487"/>
      <c r="AE277" s="388"/>
      <c r="AF277" s="101"/>
      <c r="AG277" s="101"/>
      <c r="AH277" s="101"/>
      <c r="AI277" s="487"/>
      <c r="AJ277" s="388"/>
      <c r="AK277" s="101"/>
      <c r="AL277" s="101"/>
      <c r="AM277" s="101"/>
      <c r="AN277" s="487"/>
      <c r="AO277" s="388"/>
      <c r="AP277" s="101"/>
      <c r="AQ277" s="101"/>
      <c r="AR277" s="101"/>
      <c r="AS277" s="487"/>
      <c r="AT277" s="388"/>
      <c r="AU277" s="101"/>
      <c r="AV277" s="101"/>
      <c r="AW277" s="101"/>
      <c r="AX277" s="487"/>
      <c r="AY277" s="388"/>
      <c r="AZ277" s="101"/>
      <c r="BA277" s="101"/>
      <c r="BB277" s="101"/>
      <c r="BC277" s="487"/>
      <c r="BD277" s="388"/>
      <c r="BE277" s="101"/>
      <c r="BF277" s="101"/>
      <c r="BG277" s="101"/>
      <c r="BH277" s="487"/>
      <c r="BI277" s="388"/>
      <c r="BJ277" s="101"/>
      <c r="BK277" s="101"/>
      <c r="BL277" s="101"/>
      <c r="BM277" s="487"/>
      <c r="BN277" s="388"/>
      <c r="BO277" s="101"/>
      <c r="BP277" s="101"/>
      <c r="BQ277" s="101"/>
      <c r="BR277" s="487"/>
      <c r="BS277" s="388"/>
      <c r="BT277" s="101"/>
      <c r="BU277" s="101"/>
      <c r="BV277" s="101"/>
      <c r="BW277" s="398"/>
      <c r="BZ277" s="411"/>
      <c r="CA277" s="411"/>
    </row>
    <row r="278" spans="1:79" ht="12.75" customHeight="1" x14ac:dyDescent="0.3">
      <c r="A278" s="388"/>
      <c r="B278" s="388"/>
      <c r="D278" s="398" t="s">
        <v>432</v>
      </c>
      <c r="F278" s="388"/>
      <c r="G278" s="101">
        <f>SUM(G279:G281)</f>
        <v>0</v>
      </c>
      <c r="H278" s="101"/>
      <c r="I278" s="101"/>
      <c r="J278" s="487"/>
      <c r="K278" s="101"/>
      <c r="L278" s="101">
        <f>SUM(L279:L281)</f>
        <v>0</v>
      </c>
      <c r="M278" s="101"/>
      <c r="N278" s="101"/>
      <c r="O278" s="487"/>
      <c r="P278" s="101"/>
      <c r="Q278" s="101">
        <f>SUM(Q279:Q281)</f>
        <v>0</v>
      </c>
      <c r="R278" s="101"/>
      <c r="S278" s="101"/>
      <c r="T278" s="487"/>
      <c r="U278" s="101"/>
      <c r="V278" s="101">
        <f>SUM(V279:V281)</f>
        <v>0</v>
      </c>
      <c r="W278" s="101"/>
      <c r="X278" s="101"/>
      <c r="Y278" s="487"/>
      <c r="Z278" s="101"/>
      <c r="AA278" s="101">
        <f>SUM(AA279:AA281)</f>
        <v>0</v>
      </c>
      <c r="AB278" s="101"/>
      <c r="AC278" s="101"/>
      <c r="AD278" s="487"/>
      <c r="AE278" s="101"/>
      <c r="AF278" s="101">
        <f>SUM(AF279:AF281)</f>
        <v>0</v>
      </c>
      <c r="AG278" s="101"/>
      <c r="AH278" s="101"/>
      <c r="AI278" s="487"/>
      <c r="AJ278" s="101"/>
      <c r="AK278" s="101">
        <f>SUM(AK279:AK281)</f>
        <v>0</v>
      </c>
      <c r="AL278" s="101"/>
      <c r="AM278" s="101"/>
      <c r="AN278" s="487"/>
      <c r="AO278" s="101"/>
      <c r="AP278" s="101">
        <f>SUM(AP279:AP281)</f>
        <v>0</v>
      </c>
      <c r="AQ278" s="101"/>
      <c r="AR278" s="101"/>
      <c r="AS278" s="487"/>
      <c r="AT278" s="101"/>
      <c r="AU278" s="101">
        <f>SUM(AU279:AU281)</f>
        <v>0</v>
      </c>
      <c r="AV278" s="101"/>
      <c r="AW278" s="101"/>
      <c r="AX278" s="487"/>
      <c r="AY278" s="101"/>
      <c r="AZ278" s="101">
        <f>SUM(AZ279:AZ281)</f>
        <v>0</v>
      </c>
      <c r="BA278" s="101"/>
      <c r="BB278" s="101"/>
      <c r="BC278" s="487"/>
      <c r="BD278" s="101"/>
      <c r="BE278" s="101">
        <f>SUM(BE279:BE281)</f>
        <v>0</v>
      </c>
      <c r="BF278" s="101"/>
      <c r="BG278" s="101"/>
      <c r="BH278" s="487"/>
      <c r="BI278" s="101"/>
      <c r="BJ278" s="101">
        <f>SUM(BJ279:BJ281)</f>
        <v>0</v>
      </c>
      <c r="BK278" s="101"/>
      <c r="BL278" s="101"/>
      <c r="BM278" s="487"/>
      <c r="BN278" s="101"/>
      <c r="BO278" s="101">
        <f>SUM(BO279:BO281)</f>
        <v>0</v>
      </c>
      <c r="BP278" s="101"/>
      <c r="BQ278" s="101"/>
      <c r="BR278" s="487"/>
      <c r="BS278" s="101"/>
      <c r="BT278" s="101">
        <f>SUM(BT279:BT281)</f>
        <v>0</v>
      </c>
      <c r="BU278" s="101"/>
      <c r="BV278" s="101"/>
      <c r="BW278" s="398"/>
      <c r="BZ278" s="411"/>
      <c r="CA278" s="411"/>
    </row>
    <row r="279" spans="1:79" ht="12.75" customHeight="1" x14ac:dyDescent="0.3">
      <c r="A279" s="388"/>
      <c r="B279" s="388"/>
      <c r="D279" s="398" t="s">
        <v>373</v>
      </c>
      <c r="F279" s="412"/>
      <c r="G279" s="485">
        <v>0</v>
      </c>
      <c r="H279" s="486"/>
      <c r="I279" s="101"/>
      <c r="J279" s="487"/>
      <c r="K279" s="488"/>
      <c r="L279" s="485">
        <v>0</v>
      </c>
      <c r="M279" s="486"/>
      <c r="N279" s="101"/>
      <c r="O279" s="487"/>
      <c r="P279" s="488"/>
      <c r="Q279" s="485">
        <v>0</v>
      </c>
      <c r="R279" s="486"/>
      <c r="S279" s="101"/>
      <c r="T279" s="487"/>
      <c r="U279" s="488"/>
      <c r="V279" s="485">
        <v>0</v>
      </c>
      <c r="W279" s="486"/>
      <c r="X279" s="101"/>
      <c r="Y279" s="487"/>
      <c r="Z279" s="488"/>
      <c r="AA279" s="485">
        <v>0</v>
      </c>
      <c r="AB279" s="486"/>
      <c r="AC279" s="101"/>
      <c r="AD279" s="487"/>
      <c r="AE279" s="488"/>
      <c r="AF279" s="485">
        <v>0</v>
      </c>
      <c r="AG279" s="486"/>
      <c r="AH279" s="101"/>
      <c r="AI279" s="487"/>
      <c r="AJ279" s="488"/>
      <c r="AK279" s="485">
        <v>0</v>
      </c>
      <c r="AL279" s="486"/>
      <c r="AM279" s="101"/>
      <c r="AN279" s="487"/>
      <c r="AO279" s="488"/>
      <c r="AP279" s="485">
        <v>0</v>
      </c>
      <c r="AQ279" s="486"/>
      <c r="AR279" s="101"/>
      <c r="AS279" s="487"/>
      <c r="AT279" s="488"/>
      <c r="AU279" s="485">
        <v>0</v>
      </c>
      <c r="AV279" s="486"/>
      <c r="AW279" s="101"/>
      <c r="AX279" s="487"/>
      <c r="AY279" s="488"/>
      <c r="AZ279" s="485">
        <v>0</v>
      </c>
      <c r="BA279" s="486"/>
      <c r="BB279" s="101"/>
      <c r="BC279" s="487"/>
      <c r="BD279" s="488"/>
      <c r="BE279" s="485">
        <v>0</v>
      </c>
      <c r="BF279" s="486"/>
      <c r="BG279" s="101"/>
      <c r="BH279" s="487"/>
      <c r="BI279" s="488"/>
      <c r="BJ279" s="485">
        <v>0</v>
      </c>
      <c r="BK279" s="486"/>
      <c r="BL279" s="101"/>
      <c r="BM279" s="487"/>
      <c r="BN279" s="488"/>
      <c r="BO279" s="485">
        <v>0</v>
      </c>
      <c r="BP279" s="486"/>
      <c r="BQ279" s="101"/>
      <c r="BR279" s="487"/>
      <c r="BS279" s="488"/>
      <c r="BT279" s="485">
        <f>SUM(L279:BO279)</f>
        <v>0</v>
      </c>
      <c r="BU279" s="486"/>
      <c r="BV279" s="101"/>
      <c r="BW279" s="398"/>
      <c r="BZ279" s="411"/>
      <c r="CA279" s="411"/>
    </row>
    <row r="280" spans="1:79" ht="12.75" customHeight="1" x14ac:dyDescent="0.3">
      <c r="A280" s="388"/>
      <c r="B280" s="388"/>
      <c r="D280" s="398" t="s">
        <v>375</v>
      </c>
      <c r="F280" s="404"/>
      <c r="G280" s="101">
        <v>0</v>
      </c>
      <c r="H280" s="49"/>
      <c r="I280" s="101"/>
      <c r="J280" s="487"/>
      <c r="K280" s="487"/>
      <c r="L280" s="101">
        <v>0</v>
      </c>
      <c r="M280" s="49"/>
      <c r="N280" s="101"/>
      <c r="O280" s="487"/>
      <c r="P280" s="487"/>
      <c r="Q280" s="101">
        <v>0</v>
      </c>
      <c r="R280" s="49"/>
      <c r="S280" s="101"/>
      <c r="T280" s="487"/>
      <c r="U280" s="487"/>
      <c r="V280" s="101">
        <v>0</v>
      </c>
      <c r="W280" s="49"/>
      <c r="X280" s="101"/>
      <c r="Y280" s="487"/>
      <c r="Z280" s="487"/>
      <c r="AA280" s="101">
        <v>0</v>
      </c>
      <c r="AB280" s="49"/>
      <c r="AC280" s="101"/>
      <c r="AD280" s="487"/>
      <c r="AE280" s="487"/>
      <c r="AF280" s="101">
        <v>0</v>
      </c>
      <c r="AG280" s="49"/>
      <c r="AH280" s="101"/>
      <c r="AI280" s="487"/>
      <c r="AJ280" s="487"/>
      <c r="AK280" s="101">
        <v>0</v>
      </c>
      <c r="AL280" s="49"/>
      <c r="AM280" s="101"/>
      <c r="AN280" s="487"/>
      <c r="AO280" s="487"/>
      <c r="AP280" s="101">
        <v>0</v>
      </c>
      <c r="AQ280" s="49"/>
      <c r="AR280" s="101"/>
      <c r="AS280" s="487"/>
      <c r="AT280" s="487"/>
      <c r="AU280" s="101">
        <v>0</v>
      </c>
      <c r="AV280" s="49"/>
      <c r="AW280" s="101"/>
      <c r="AX280" s="487"/>
      <c r="AY280" s="487"/>
      <c r="AZ280" s="101">
        <v>0</v>
      </c>
      <c r="BA280" s="49"/>
      <c r="BB280" s="101"/>
      <c r="BC280" s="487"/>
      <c r="BD280" s="487"/>
      <c r="BE280" s="101">
        <v>0</v>
      </c>
      <c r="BF280" s="49"/>
      <c r="BG280" s="101"/>
      <c r="BH280" s="487"/>
      <c r="BI280" s="487"/>
      <c r="BJ280" s="101">
        <v>0</v>
      </c>
      <c r="BK280" s="49"/>
      <c r="BL280" s="101"/>
      <c r="BM280" s="487"/>
      <c r="BN280" s="487"/>
      <c r="BO280" s="101">
        <v>0</v>
      </c>
      <c r="BP280" s="49"/>
      <c r="BQ280" s="101"/>
      <c r="BR280" s="487"/>
      <c r="BS280" s="487"/>
      <c r="BT280" s="101">
        <f>SUM(L280:BO280)</f>
        <v>0</v>
      </c>
      <c r="BU280" s="49"/>
      <c r="BV280" s="101"/>
      <c r="BW280" s="398"/>
      <c r="BZ280" s="411"/>
      <c r="CA280" s="411"/>
    </row>
    <row r="281" spans="1:79" ht="12.75" customHeight="1" x14ac:dyDescent="0.3">
      <c r="A281" s="388"/>
      <c r="B281" s="388"/>
      <c r="D281" s="398" t="s">
        <v>376</v>
      </c>
      <c r="F281" s="427"/>
      <c r="G281" s="496">
        <v>0</v>
      </c>
      <c r="H281" s="90"/>
      <c r="I281" s="101"/>
      <c r="J281" s="487"/>
      <c r="K281" s="497"/>
      <c r="L281" s="496">
        <v>0</v>
      </c>
      <c r="M281" s="90"/>
      <c r="N281" s="101"/>
      <c r="O281" s="487"/>
      <c r="P281" s="497"/>
      <c r="Q281" s="496">
        <v>0</v>
      </c>
      <c r="R281" s="90"/>
      <c r="S281" s="101"/>
      <c r="T281" s="487"/>
      <c r="U281" s="497"/>
      <c r="V281" s="496">
        <v>0</v>
      </c>
      <c r="W281" s="90"/>
      <c r="X281" s="101"/>
      <c r="Y281" s="487"/>
      <c r="Z281" s="497"/>
      <c r="AA281" s="496">
        <v>0</v>
      </c>
      <c r="AB281" s="90"/>
      <c r="AC281" s="101"/>
      <c r="AD281" s="487"/>
      <c r="AE281" s="497"/>
      <c r="AF281" s="496">
        <v>0</v>
      </c>
      <c r="AG281" s="90"/>
      <c r="AH281" s="101"/>
      <c r="AI281" s="487"/>
      <c r="AJ281" s="497"/>
      <c r="AK281" s="496">
        <v>0</v>
      </c>
      <c r="AL281" s="90"/>
      <c r="AM281" s="101"/>
      <c r="AN281" s="487"/>
      <c r="AO281" s="497"/>
      <c r="AP281" s="496">
        <v>0</v>
      </c>
      <c r="AQ281" s="90"/>
      <c r="AR281" s="101"/>
      <c r="AS281" s="487"/>
      <c r="AT281" s="497"/>
      <c r="AU281" s="496">
        <v>0</v>
      </c>
      <c r="AV281" s="90"/>
      <c r="AW281" s="101"/>
      <c r="AX281" s="487"/>
      <c r="AY281" s="497"/>
      <c r="AZ281" s="496">
        <v>0</v>
      </c>
      <c r="BA281" s="90"/>
      <c r="BB281" s="101"/>
      <c r="BC281" s="487"/>
      <c r="BD281" s="497"/>
      <c r="BE281" s="496">
        <v>0</v>
      </c>
      <c r="BF281" s="90"/>
      <c r="BG281" s="101"/>
      <c r="BH281" s="487"/>
      <c r="BI281" s="497"/>
      <c r="BJ281" s="496">
        <v>0</v>
      </c>
      <c r="BK281" s="90"/>
      <c r="BL281" s="101"/>
      <c r="BM281" s="487"/>
      <c r="BN281" s="497"/>
      <c r="BO281" s="496">
        <v>0</v>
      </c>
      <c r="BP281" s="90"/>
      <c r="BQ281" s="101"/>
      <c r="BR281" s="487"/>
      <c r="BS281" s="497"/>
      <c r="BT281" s="496">
        <f>SUM(L281:BO281)</f>
        <v>0</v>
      </c>
      <c r="BU281" s="90"/>
      <c r="BV281" s="101"/>
      <c r="BW281" s="398"/>
      <c r="BZ281" s="411"/>
      <c r="CA281" s="411"/>
    </row>
    <row r="282" spans="1:79" x14ac:dyDescent="0.3">
      <c r="A282" s="388"/>
      <c r="B282" s="388"/>
      <c r="D282" s="398"/>
      <c r="E282" s="509"/>
      <c r="F282" s="388"/>
      <c r="G282" s="101"/>
      <c r="H282" s="101"/>
      <c r="I282" s="101"/>
      <c r="J282" s="487"/>
      <c r="K282" s="388"/>
      <c r="L282" s="101"/>
      <c r="M282" s="101"/>
      <c r="N282" s="101"/>
      <c r="O282" s="487"/>
      <c r="P282" s="388"/>
      <c r="Q282" s="101"/>
      <c r="R282" s="101"/>
      <c r="S282" s="101"/>
      <c r="T282" s="487"/>
      <c r="U282" s="388"/>
      <c r="V282" s="101"/>
      <c r="W282" s="101"/>
      <c r="X282" s="101"/>
      <c r="Y282" s="487"/>
      <c r="Z282" s="388"/>
      <c r="AA282" s="101"/>
      <c r="AB282" s="101"/>
      <c r="AC282" s="101"/>
      <c r="AD282" s="487"/>
      <c r="AE282" s="388"/>
      <c r="AF282" s="101"/>
      <c r="AG282" s="101"/>
      <c r="AH282" s="101"/>
      <c r="AI282" s="487"/>
      <c r="AJ282" s="388"/>
      <c r="AK282" s="101"/>
      <c r="AL282" s="101"/>
      <c r="AM282" s="101"/>
      <c r="AN282" s="487"/>
      <c r="AO282" s="388"/>
      <c r="AP282" s="101"/>
      <c r="AQ282" s="101"/>
      <c r="AR282" s="101"/>
      <c r="AS282" s="487"/>
      <c r="AT282" s="388"/>
      <c r="AU282" s="101"/>
      <c r="AV282" s="101"/>
      <c r="AW282" s="101"/>
      <c r="AX282" s="487"/>
      <c r="AY282" s="388"/>
      <c r="AZ282" s="101"/>
      <c r="BA282" s="101"/>
      <c r="BB282" s="101"/>
      <c r="BC282" s="487"/>
      <c r="BD282" s="388"/>
      <c r="BE282" s="101"/>
      <c r="BF282" s="101"/>
      <c r="BG282" s="101"/>
      <c r="BH282" s="487"/>
      <c r="BI282" s="388"/>
      <c r="BJ282" s="101"/>
      <c r="BK282" s="101"/>
      <c r="BL282" s="101"/>
      <c r="BM282" s="487"/>
      <c r="BN282" s="388"/>
      <c r="BO282" s="101"/>
      <c r="BP282" s="101"/>
      <c r="BQ282" s="101"/>
      <c r="BR282" s="487"/>
      <c r="BS282" s="388"/>
      <c r="BT282" s="101"/>
      <c r="BU282" s="101"/>
      <c r="BV282" s="101"/>
      <c r="BW282" s="398"/>
      <c r="BZ282" s="411"/>
      <c r="CA282" s="411"/>
    </row>
    <row r="283" spans="1:79" s="411" customFormat="1" x14ac:dyDescent="0.3">
      <c r="A283" s="389"/>
      <c r="B283" s="389"/>
      <c r="D283" s="233" t="s">
        <v>366</v>
      </c>
      <c r="E283" s="514"/>
      <c r="F283" s="234"/>
      <c r="G283" s="482">
        <f>SUM(G284:G284)</f>
        <v>1028268</v>
      </c>
      <c r="H283" s="482"/>
      <c r="I283" s="482"/>
      <c r="J283" s="483"/>
      <c r="K283" s="482"/>
      <c r="L283" s="482">
        <f>SUM(L284:L284)</f>
        <v>487336</v>
      </c>
      <c r="M283" s="482"/>
      <c r="N283" s="482"/>
      <c r="O283" s="483"/>
      <c r="P283" s="482"/>
      <c r="Q283" s="482">
        <f>SUM(Q284:Q284)</f>
        <v>29682</v>
      </c>
      <c r="R283" s="482"/>
      <c r="S283" s="482"/>
      <c r="T283" s="483"/>
      <c r="U283" s="482"/>
      <c r="V283" s="482">
        <f>SUM(V284:V284)</f>
        <v>28489</v>
      </c>
      <c r="W283" s="482"/>
      <c r="X283" s="482"/>
      <c r="Y283" s="483"/>
      <c r="Z283" s="482"/>
      <c r="AA283" s="482">
        <f>SUM(AA284:AA284)</f>
        <v>0</v>
      </c>
      <c r="AB283" s="482"/>
      <c r="AC283" s="482"/>
      <c r="AD283" s="483"/>
      <c r="AE283" s="482"/>
      <c r="AF283" s="482">
        <f>SUM(AF284:AF284)</f>
        <v>41191</v>
      </c>
      <c r="AG283" s="482"/>
      <c r="AH283" s="482"/>
      <c r="AI283" s="483"/>
      <c r="AJ283" s="482"/>
      <c r="AK283" s="482">
        <f>SUM(AK284:AK284)</f>
        <v>18552</v>
      </c>
      <c r="AL283" s="482"/>
      <c r="AM283" s="482"/>
      <c r="AN283" s="483"/>
      <c r="AO283" s="239"/>
      <c r="AP283" s="482">
        <f>SUM(AP284:AP284)</f>
        <v>0</v>
      </c>
      <c r="AQ283" s="101"/>
      <c r="AR283" s="482"/>
      <c r="AS283" s="483"/>
      <c r="AT283" s="482"/>
      <c r="AU283" s="482">
        <f>SUM(AU284:AU284)</f>
        <v>85877</v>
      </c>
      <c r="AV283" s="482"/>
      <c r="AW283" s="482"/>
      <c r="AX283" s="483"/>
      <c r="AY283" s="482"/>
      <c r="AZ283" s="482">
        <f>SUM(AZ284:AZ284)</f>
        <v>204461</v>
      </c>
      <c r="BA283" s="482"/>
      <c r="BB283" s="482"/>
      <c r="BC283" s="483"/>
      <c r="BD283" s="482"/>
      <c r="BE283" s="482">
        <f>SUM(BE284:BE284)</f>
        <v>132680</v>
      </c>
      <c r="BF283" s="482"/>
      <c r="BG283" s="482"/>
      <c r="BH283" s="483"/>
      <c r="BI283" s="482"/>
      <c r="BJ283" s="482">
        <f>SUM(BJ284:BJ284)</f>
        <v>1279237</v>
      </c>
      <c r="BK283" s="482"/>
      <c r="BL283" s="482"/>
      <c r="BM283" s="483"/>
      <c r="BN283" s="482"/>
      <c r="BO283" s="482">
        <f>SUM(BO284:BO284)</f>
        <v>2584491</v>
      </c>
      <c r="BP283" s="482"/>
      <c r="BQ283" s="482"/>
      <c r="BR283" s="483"/>
      <c r="BS283" s="482"/>
      <c r="BT283" s="482">
        <f>SUM(BT284:BT284)</f>
        <v>4891996</v>
      </c>
      <c r="BU283" s="482"/>
      <c r="BV283" s="482"/>
      <c r="BW283" s="405"/>
      <c r="BY283" s="38"/>
    </row>
    <row r="284" spans="1:79" x14ac:dyDescent="0.3">
      <c r="A284" s="388"/>
      <c r="B284" s="388"/>
      <c r="D284" s="398" t="s">
        <v>373</v>
      </c>
      <c r="E284" s="509"/>
      <c r="F284" s="515"/>
      <c r="G284" s="491">
        <f>G290+G293+G325+G296+G302+G305+G308+G311+G313+G322+G328+G331+G334+G337+G340+G343+G346+G287+G318+G299</f>
        <v>1028268</v>
      </c>
      <c r="H284" s="492"/>
      <c r="I284" s="101"/>
      <c r="J284" s="487"/>
      <c r="K284" s="493"/>
      <c r="L284" s="491">
        <f>L290+L293+L325+L296+L302+L305+L308+L311+L313+L322+L328+L331+L334+L337+L340+L343+L346+L287+L318+L299</f>
        <v>487336</v>
      </c>
      <c r="M284" s="492"/>
      <c r="N284" s="101"/>
      <c r="O284" s="487"/>
      <c r="P284" s="493"/>
      <c r="Q284" s="491">
        <f>Q290+Q293+Q325+Q296+Q302+Q305+Q308+Q311+Q313+Q322+Q328+Q331+Q334+Q337+Q340+Q343+Q346+Q287+Q318+Q299</f>
        <v>29682</v>
      </c>
      <c r="R284" s="492"/>
      <c r="S284" s="101"/>
      <c r="T284" s="487"/>
      <c r="U284" s="493"/>
      <c r="V284" s="491">
        <f>V290+V293+V325+V296+V302+V305+V308+V311+V313+V322+V328+V331+V334+V337+V340+V343+V346+V287+V318+V299</f>
        <v>28489</v>
      </c>
      <c r="W284" s="492"/>
      <c r="X284" s="101"/>
      <c r="Y284" s="487"/>
      <c r="Z284" s="493"/>
      <c r="AA284" s="491">
        <f>AA290+AA293+AA325+AA296+AA302+AA305+AA308+AA311+AA313+AA322+AA328+AA331+AA334+AA337+AA340+AA343+AA346+AA287+AA318+AA299</f>
        <v>0</v>
      </c>
      <c r="AB284" s="492"/>
      <c r="AC284" s="101"/>
      <c r="AD284" s="487"/>
      <c r="AE284" s="493"/>
      <c r="AF284" s="491">
        <f>AF290+AF293+AF325+AF296+AF302+AF305+AF308+AF311+AF313+AF322+AF328+AF331+AF334+AF337+AF340+AF343+AF346+AF287+AF318+AF299</f>
        <v>41191</v>
      </c>
      <c r="AG284" s="492"/>
      <c r="AH284" s="101"/>
      <c r="AI284" s="487"/>
      <c r="AJ284" s="493"/>
      <c r="AK284" s="491">
        <f>AK290+AK293+AK325+AK296+AK302+AK305+AK308+AK311+AK313+AK322+AK328+AK331+AK334+AK337+AK340+AK343+AK346+AK287+AK318+AK299</f>
        <v>18552</v>
      </c>
      <c r="AL284" s="492"/>
      <c r="AM284" s="101"/>
      <c r="AN284" s="487"/>
      <c r="AO284" s="493"/>
      <c r="AP284" s="491">
        <f>AP290+AP293+AP325+AP296+AP302+AP305+AP308+AP311+AP313+AP322+AP328+AP331+AP334+AP337+AP340+AP343+AP346+AP287+AP318+AP299</f>
        <v>0</v>
      </c>
      <c r="AQ284" s="492"/>
      <c r="AR284" s="101"/>
      <c r="AS284" s="487"/>
      <c r="AT284" s="493"/>
      <c r="AU284" s="491">
        <f>AU290+AU293+AU325+AU296+AU302+AU305+AU308+AU311+AU313+AU322+AU328+AU331+AU334+AU337+AU340+AU343+AU346+AU287+AU318+AU299</f>
        <v>85877</v>
      </c>
      <c r="AV284" s="492"/>
      <c r="AW284" s="101"/>
      <c r="AX284" s="487"/>
      <c r="AY284" s="493"/>
      <c r="AZ284" s="491">
        <f>AZ290+AZ293+AZ325+AZ296+AZ302+AZ305+AZ308+AZ311+AZ313+AZ322+AZ328+AZ331+AZ334+AZ337+AZ340+AZ343+AZ346+AZ287+AZ318+AZ299</f>
        <v>204461</v>
      </c>
      <c r="BA284" s="492"/>
      <c r="BB284" s="101"/>
      <c r="BC284" s="487"/>
      <c r="BD284" s="493"/>
      <c r="BE284" s="491">
        <f>BE290+BE293+BE325+BE296+BE302+BE305+BE308+BE311+BE313+BE322+BE328+BE331+BE334+BE337+BE340+BE343+BE346+BE287+BE318+BE299</f>
        <v>132680</v>
      </c>
      <c r="BF284" s="492"/>
      <c r="BG284" s="101"/>
      <c r="BH284" s="487"/>
      <c r="BI284" s="493"/>
      <c r="BJ284" s="491">
        <f>BJ290+BJ293+BJ325+BJ296+BJ302+BJ305+BJ308+BJ311+BJ313+BJ322+BJ328+BJ331+BJ334+BJ337+BJ340+BJ343+BJ346+BJ287+BJ318+BJ299</f>
        <v>1279237</v>
      </c>
      <c r="BK284" s="492"/>
      <c r="BL284" s="101"/>
      <c r="BM284" s="487"/>
      <c r="BN284" s="493"/>
      <c r="BO284" s="491">
        <f>BO290+BO293+BO325+BO296+BO302+BO305+BO308+BO311+BO313+BO322+BO328+BO331+BO334+BO337+BO340+BO343+BO346+BO287+BO318+BO299</f>
        <v>2584491</v>
      </c>
      <c r="BP284" s="492"/>
      <c r="BQ284" s="101"/>
      <c r="BR284" s="487"/>
      <c r="BS284" s="493"/>
      <c r="BT284" s="516">
        <f>BT290+BT293+BT325+BT296+BT302+BT305+BT308+BT311+BT313+BT322+BT328+BT331+BT334+BT337+BT340+BT343+BT346+BT287+BT318+BT299</f>
        <v>4891996</v>
      </c>
      <c r="BU284" s="492"/>
      <c r="BV284" s="101"/>
      <c r="BW284" s="398"/>
      <c r="BZ284" s="411"/>
      <c r="CA284" s="411"/>
    </row>
    <row r="285" spans="1:79" x14ac:dyDescent="0.3">
      <c r="A285" s="388"/>
      <c r="B285" s="388"/>
      <c r="D285" s="398"/>
      <c r="E285" s="509"/>
      <c r="F285" s="239"/>
      <c r="G285" s="101"/>
      <c r="H285" s="101"/>
      <c r="I285" s="101"/>
      <c r="J285" s="487"/>
      <c r="K285" s="101"/>
      <c r="L285" s="101"/>
      <c r="M285" s="101"/>
      <c r="N285" s="101"/>
      <c r="O285" s="487"/>
      <c r="P285" s="101"/>
      <c r="Q285" s="101"/>
      <c r="R285" s="101"/>
      <c r="S285" s="101"/>
      <c r="T285" s="487"/>
      <c r="U285" s="101"/>
      <c r="V285" s="101"/>
      <c r="W285" s="101"/>
      <c r="X285" s="101"/>
      <c r="Y285" s="487"/>
      <c r="Z285" s="101"/>
      <c r="AA285" s="101"/>
      <c r="AB285" s="101"/>
      <c r="AC285" s="101"/>
      <c r="AD285" s="487"/>
      <c r="AE285" s="101"/>
      <c r="AF285" s="101"/>
      <c r="AG285" s="101"/>
      <c r="AH285" s="101"/>
      <c r="AI285" s="487"/>
      <c r="AJ285" s="101"/>
      <c r="AK285" s="101"/>
      <c r="AL285" s="101"/>
      <c r="AM285" s="101"/>
      <c r="AN285" s="487"/>
      <c r="AO285" s="101"/>
      <c r="AP285" s="101"/>
      <c r="AQ285" s="101"/>
      <c r="AR285" s="101"/>
      <c r="AS285" s="487"/>
      <c r="AT285" s="101"/>
      <c r="AU285" s="101"/>
      <c r="AV285" s="101"/>
      <c r="AW285" s="101"/>
      <c r="AX285" s="487"/>
      <c r="AY285" s="101"/>
      <c r="AZ285" s="101"/>
      <c r="BA285" s="101"/>
      <c r="BB285" s="101"/>
      <c r="BC285" s="487"/>
      <c r="BD285" s="101"/>
      <c r="BE285" s="101"/>
      <c r="BF285" s="101"/>
      <c r="BG285" s="101"/>
      <c r="BH285" s="487"/>
      <c r="BI285" s="101"/>
      <c r="BJ285" s="101"/>
      <c r="BK285" s="101"/>
      <c r="BL285" s="101"/>
      <c r="BM285" s="487"/>
      <c r="BN285" s="101"/>
      <c r="BO285" s="101"/>
      <c r="BP285" s="101"/>
      <c r="BQ285" s="101"/>
      <c r="BR285" s="487"/>
      <c r="BS285" s="101"/>
      <c r="BT285" s="101"/>
      <c r="BU285" s="101"/>
      <c r="BV285" s="101"/>
      <c r="BW285" s="398"/>
      <c r="BZ285" s="411"/>
      <c r="CA285" s="411"/>
    </row>
    <row r="286" spans="1:79" ht="12.75" hidden="1" customHeight="1" x14ac:dyDescent="0.2">
      <c r="A286" s="388"/>
      <c r="B286" s="388"/>
      <c r="D286" s="398" t="s">
        <v>433</v>
      </c>
      <c r="F286" s="388"/>
      <c r="G286" s="101">
        <v>0</v>
      </c>
      <c r="H286" s="101"/>
      <c r="I286" s="101"/>
      <c r="J286" s="487"/>
      <c r="K286" s="101"/>
      <c r="L286" s="101">
        <f>SUM(L287:L287)</f>
        <v>0</v>
      </c>
      <c r="M286" s="101"/>
      <c r="N286" s="101"/>
      <c r="O286" s="487"/>
      <c r="P286" s="101"/>
      <c r="Q286" s="101">
        <f>SUM(Q287:Q287)</f>
        <v>0</v>
      </c>
      <c r="R286" s="101"/>
      <c r="S286" s="101"/>
      <c r="T286" s="487"/>
      <c r="U286" s="101"/>
      <c r="V286" s="101">
        <f>SUM(V287:V287)</f>
        <v>0</v>
      </c>
      <c r="W286" s="101"/>
      <c r="X286" s="101"/>
      <c r="Y286" s="487"/>
      <c r="Z286" s="101"/>
      <c r="AA286" s="101">
        <f>SUM(AA287:AA287)</f>
        <v>0</v>
      </c>
      <c r="AB286" s="101"/>
      <c r="AC286" s="101"/>
      <c r="AD286" s="487"/>
      <c r="AE286" s="101"/>
      <c r="AF286" s="101">
        <f>SUM(AF287:AF287)</f>
        <v>0</v>
      </c>
      <c r="AG286" s="101"/>
      <c r="AH286" s="101"/>
      <c r="AI286" s="487"/>
      <c r="AJ286" s="101"/>
      <c r="AK286" s="101">
        <f>SUM(AK287:AK287)</f>
        <v>0</v>
      </c>
      <c r="AL286" s="101"/>
      <c r="AM286" s="101"/>
      <c r="AN286" s="487"/>
      <c r="AO286" s="101"/>
      <c r="AP286" s="101">
        <f>SUM(AP287:AP287)</f>
        <v>0</v>
      </c>
      <c r="AQ286" s="101"/>
      <c r="AR286" s="101"/>
      <c r="AS286" s="487"/>
      <c r="AT286" s="101"/>
      <c r="AU286" s="101">
        <f>SUM(AU287:AU287)</f>
        <v>0</v>
      </c>
      <c r="AV286" s="101"/>
      <c r="AW286" s="101"/>
      <c r="AX286" s="487"/>
      <c r="AY286" s="101"/>
      <c r="AZ286" s="101">
        <f>SUM(AZ287:AZ287)</f>
        <v>0</v>
      </c>
      <c r="BA286" s="101"/>
      <c r="BB286" s="101"/>
      <c r="BC286" s="487"/>
      <c r="BD286" s="101"/>
      <c r="BE286" s="101">
        <f>SUM(BE287:BE287)</f>
        <v>0</v>
      </c>
      <c r="BF286" s="101"/>
      <c r="BG286" s="101"/>
      <c r="BH286" s="487"/>
      <c r="BI286" s="101"/>
      <c r="BJ286" s="101">
        <f>SUM(BJ287:BJ287)</f>
        <v>0</v>
      </c>
      <c r="BK286" s="101"/>
      <c r="BL286" s="101"/>
      <c r="BM286" s="487"/>
      <c r="BN286" s="101"/>
      <c r="BO286" s="101">
        <f>SUM(BO287:BO287)</f>
        <v>0</v>
      </c>
      <c r="BP286" s="101"/>
      <c r="BQ286" s="101"/>
      <c r="BR286" s="487"/>
      <c r="BS286" s="101"/>
      <c r="BT286" s="101">
        <f>SUM(BT287:BT287)</f>
        <v>0</v>
      </c>
      <c r="BU286" s="101"/>
      <c r="BV286" s="101"/>
      <c r="BW286" s="398"/>
      <c r="BZ286" s="411"/>
      <c r="CA286" s="411"/>
    </row>
    <row r="287" spans="1:79" ht="12.75" hidden="1" customHeight="1" x14ac:dyDescent="0.2">
      <c r="A287" s="388"/>
      <c r="B287" s="388"/>
      <c r="D287" s="398" t="s">
        <v>373</v>
      </c>
      <c r="F287" s="490"/>
      <c r="G287" s="491">
        <v>0</v>
      </c>
      <c r="H287" s="492"/>
      <c r="I287" s="101"/>
      <c r="J287" s="487"/>
      <c r="K287" s="493"/>
      <c r="L287" s="491">
        <v>0</v>
      </c>
      <c r="M287" s="492"/>
      <c r="N287" s="101"/>
      <c r="O287" s="487"/>
      <c r="P287" s="493"/>
      <c r="Q287" s="491">
        <v>0</v>
      </c>
      <c r="R287" s="492"/>
      <c r="S287" s="101"/>
      <c r="T287" s="487"/>
      <c r="U287" s="493"/>
      <c r="V287" s="491">
        <v>0</v>
      </c>
      <c r="W287" s="492"/>
      <c r="X287" s="101"/>
      <c r="Y287" s="487"/>
      <c r="Z287" s="493"/>
      <c r="AA287" s="491">
        <v>0</v>
      </c>
      <c r="AB287" s="492"/>
      <c r="AC287" s="101"/>
      <c r="AD287" s="487"/>
      <c r="AE287" s="493"/>
      <c r="AF287" s="491">
        <v>0</v>
      </c>
      <c r="AG287" s="492"/>
      <c r="AH287" s="101"/>
      <c r="AI287" s="487"/>
      <c r="AJ287" s="493"/>
      <c r="AK287" s="491">
        <v>0</v>
      </c>
      <c r="AL287" s="492"/>
      <c r="AM287" s="101"/>
      <c r="AN287" s="487"/>
      <c r="AO287" s="493"/>
      <c r="AP287" s="491">
        <v>0</v>
      </c>
      <c r="AQ287" s="492"/>
      <c r="AR287" s="101"/>
      <c r="AS287" s="487"/>
      <c r="AT287" s="493"/>
      <c r="AU287" s="491">
        <v>0</v>
      </c>
      <c r="AV287" s="492"/>
      <c r="AW287" s="101"/>
      <c r="AX287" s="487"/>
      <c r="AY287" s="493"/>
      <c r="AZ287" s="491">
        <v>0</v>
      </c>
      <c r="BA287" s="492"/>
      <c r="BB287" s="101"/>
      <c r="BC287" s="487"/>
      <c r="BD287" s="493"/>
      <c r="BE287" s="491">
        <v>0</v>
      </c>
      <c r="BF287" s="492"/>
      <c r="BG287" s="101"/>
      <c r="BH287" s="487"/>
      <c r="BI287" s="493"/>
      <c r="BJ287" s="491">
        <v>0</v>
      </c>
      <c r="BK287" s="492"/>
      <c r="BL287" s="101"/>
      <c r="BM287" s="487"/>
      <c r="BN287" s="493"/>
      <c r="BO287" s="491">
        <v>0</v>
      </c>
      <c r="BP287" s="492"/>
      <c r="BQ287" s="101"/>
      <c r="BR287" s="487"/>
      <c r="BS287" s="493"/>
      <c r="BT287" s="491">
        <f>SUM(L287:BO287)</f>
        <v>0</v>
      </c>
      <c r="BU287" s="492"/>
      <c r="BV287" s="101"/>
      <c r="BW287" s="398"/>
      <c r="BZ287" s="411"/>
      <c r="CA287" s="411"/>
    </row>
    <row r="288" spans="1:79" ht="12.75" hidden="1" customHeight="1" x14ac:dyDescent="0.2">
      <c r="A288" s="388"/>
      <c r="B288" s="388"/>
      <c r="D288" s="398"/>
      <c r="E288" s="509"/>
      <c r="F288" s="239"/>
      <c r="G288" s="101"/>
      <c r="H288" s="101"/>
      <c r="I288" s="101"/>
      <c r="J288" s="487"/>
      <c r="K288" s="101"/>
      <c r="L288" s="101"/>
      <c r="M288" s="101"/>
      <c r="N288" s="101"/>
      <c r="O288" s="487"/>
      <c r="P288" s="101"/>
      <c r="Q288" s="101"/>
      <c r="R288" s="101"/>
      <c r="S288" s="101"/>
      <c r="T288" s="487"/>
      <c r="U288" s="101"/>
      <c r="V288" s="101"/>
      <c r="W288" s="101"/>
      <c r="X288" s="101"/>
      <c r="Y288" s="487"/>
      <c r="Z288" s="101"/>
      <c r="AA288" s="101"/>
      <c r="AB288" s="101"/>
      <c r="AC288" s="101"/>
      <c r="AD288" s="487"/>
      <c r="AE288" s="101"/>
      <c r="AF288" s="101"/>
      <c r="AG288" s="101"/>
      <c r="AH288" s="101"/>
      <c r="AI288" s="487"/>
      <c r="AJ288" s="101"/>
      <c r="AK288" s="101"/>
      <c r="AL288" s="101"/>
      <c r="AM288" s="101"/>
      <c r="AN288" s="487"/>
      <c r="AO288" s="101"/>
      <c r="AP288" s="101"/>
      <c r="AQ288" s="101"/>
      <c r="AR288" s="101"/>
      <c r="AS288" s="487"/>
      <c r="AT288" s="101"/>
      <c r="AU288" s="101"/>
      <c r="AV288" s="101"/>
      <c r="AW288" s="101"/>
      <c r="AX288" s="487"/>
      <c r="AY288" s="101"/>
      <c r="AZ288" s="101"/>
      <c r="BA288" s="101"/>
      <c r="BB288" s="101"/>
      <c r="BC288" s="487"/>
      <c r="BD288" s="101"/>
      <c r="BE288" s="101"/>
      <c r="BF288" s="101"/>
      <c r="BG288" s="101"/>
      <c r="BH288" s="487"/>
      <c r="BI288" s="101"/>
      <c r="BJ288" s="101"/>
      <c r="BK288" s="101"/>
      <c r="BL288" s="101"/>
      <c r="BM288" s="487"/>
      <c r="BN288" s="101"/>
      <c r="BO288" s="101"/>
      <c r="BP288" s="101"/>
      <c r="BQ288" s="101"/>
      <c r="BR288" s="487"/>
      <c r="BS288" s="101"/>
      <c r="BT288" s="101"/>
      <c r="BU288" s="101"/>
      <c r="BV288" s="101"/>
      <c r="BW288" s="398"/>
      <c r="BZ288" s="411"/>
      <c r="CA288" s="411"/>
    </row>
    <row r="289" spans="1:79" x14ac:dyDescent="0.3">
      <c r="A289" s="388"/>
      <c r="B289" s="388"/>
      <c r="D289" s="398" t="s">
        <v>400</v>
      </c>
      <c r="F289" s="388"/>
      <c r="G289" s="101">
        <f>SUM(G290:G290)</f>
        <v>555556</v>
      </c>
      <c r="H289" s="101"/>
      <c r="I289" s="101"/>
      <c r="J289" s="487"/>
      <c r="K289" s="101"/>
      <c r="L289" s="101">
        <f>SUM(L290:L290)</f>
        <v>487336</v>
      </c>
      <c r="M289" s="101"/>
      <c r="N289" s="101"/>
      <c r="O289" s="487"/>
      <c r="P289" s="101"/>
      <c r="Q289" s="101">
        <f>SUM(Q290:Q290)</f>
        <v>0</v>
      </c>
      <c r="R289" s="101"/>
      <c r="S289" s="101"/>
      <c r="T289" s="487"/>
      <c r="U289" s="101"/>
      <c r="V289" s="101">
        <f>SUM(V290:V290)</f>
        <v>0</v>
      </c>
      <c r="W289" s="101"/>
      <c r="X289" s="101"/>
      <c r="Y289" s="487"/>
      <c r="Z289" s="101"/>
      <c r="AA289" s="101">
        <f>SUM(AA290:AA290)</f>
        <v>0</v>
      </c>
      <c r="AB289" s="101"/>
      <c r="AC289" s="101"/>
      <c r="AD289" s="487"/>
      <c r="AE289" s="101"/>
      <c r="AF289" s="101">
        <f>SUM(AF290:AF290)</f>
        <v>0</v>
      </c>
      <c r="AG289" s="101"/>
      <c r="AH289" s="101"/>
      <c r="AI289" s="487"/>
      <c r="AJ289" s="101"/>
      <c r="AK289" s="101">
        <f>SUM(AK290:AK290)</f>
        <v>0</v>
      </c>
      <c r="AL289" s="101"/>
      <c r="AM289" s="101"/>
      <c r="AN289" s="487"/>
      <c r="AO289" s="101"/>
      <c r="AP289" s="101">
        <f>SUM(AP290:AP290)</f>
        <v>0</v>
      </c>
      <c r="AQ289" s="101"/>
      <c r="AR289" s="101"/>
      <c r="AS289" s="487"/>
      <c r="AT289" s="101"/>
      <c r="AU289" s="101">
        <f>SUM(AU290:AU290)</f>
        <v>0</v>
      </c>
      <c r="AV289" s="101"/>
      <c r="AW289" s="101"/>
      <c r="AX289" s="487"/>
      <c r="AY289" s="101"/>
      <c r="AZ289" s="101">
        <f>SUM(AZ290:AZ290)</f>
        <v>68220</v>
      </c>
      <c r="BA289" s="101"/>
      <c r="BB289" s="101"/>
      <c r="BC289" s="487"/>
      <c r="BD289" s="101"/>
      <c r="BE289" s="101">
        <f>SUM(BE290:BE290)</f>
        <v>0</v>
      </c>
      <c r="BF289" s="101"/>
      <c r="BG289" s="101"/>
      <c r="BH289" s="487"/>
      <c r="BI289" s="101"/>
      <c r="BJ289" s="101">
        <f>SUM(BJ290:BJ290)</f>
        <v>119402</v>
      </c>
      <c r="BK289" s="101"/>
      <c r="BL289" s="101"/>
      <c r="BM289" s="487"/>
      <c r="BN289" s="101"/>
      <c r="BO289" s="101">
        <f>SUM(BO290:BO290)</f>
        <v>31938</v>
      </c>
      <c r="BP289" s="101"/>
      <c r="BQ289" s="101"/>
      <c r="BR289" s="487"/>
      <c r="BS289" s="101"/>
      <c r="BT289" s="101">
        <f>SUM(BT290:BT290)</f>
        <v>706896</v>
      </c>
      <c r="BU289" s="101"/>
      <c r="BV289" s="101"/>
      <c r="BW289" s="398"/>
      <c r="BZ289" s="411"/>
      <c r="CA289" s="411"/>
    </row>
    <row r="290" spans="1:79" x14ac:dyDescent="0.3">
      <c r="A290" s="388"/>
      <c r="B290" s="388"/>
      <c r="D290" s="398" t="s">
        <v>373</v>
      </c>
      <c r="F290" s="490"/>
      <c r="G290" s="491">
        <v>555556</v>
      </c>
      <c r="H290" s="492"/>
      <c r="I290" s="101"/>
      <c r="J290" s="487"/>
      <c r="K290" s="493"/>
      <c r="L290" s="491">
        <v>487336</v>
      </c>
      <c r="M290" s="492"/>
      <c r="N290" s="101"/>
      <c r="O290" s="487"/>
      <c r="P290" s="493"/>
      <c r="Q290" s="491">
        <v>0</v>
      </c>
      <c r="R290" s="492"/>
      <c r="S290" s="101"/>
      <c r="T290" s="487"/>
      <c r="U290" s="493"/>
      <c r="V290" s="491">
        <v>0</v>
      </c>
      <c r="W290" s="492"/>
      <c r="X290" s="101"/>
      <c r="Y290" s="487"/>
      <c r="Z290" s="493"/>
      <c r="AA290" s="491">
        <v>0</v>
      </c>
      <c r="AB290" s="492"/>
      <c r="AC290" s="101"/>
      <c r="AD290" s="487"/>
      <c r="AE290" s="493"/>
      <c r="AF290" s="491">
        <v>0</v>
      </c>
      <c r="AG290" s="492"/>
      <c r="AH290" s="101"/>
      <c r="AI290" s="487"/>
      <c r="AJ290" s="493"/>
      <c r="AK290" s="491">
        <v>0</v>
      </c>
      <c r="AL290" s="492"/>
      <c r="AM290" s="101"/>
      <c r="AN290" s="487"/>
      <c r="AO290" s="493"/>
      <c r="AP290" s="491">
        <v>0</v>
      </c>
      <c r="AQ290" s="492"/>
      <c r="AR290" s="101"/>
      <c r="AS290" s="487"/>
      <c r="AT290" s="493"/>
      <c r="AU290" s="491">
        <v>0</v>
      </c>
      <c r="AV290" s="492"/>
      <c r="AW290" s="101"/>
      <c r="AX290" s="487"/>
      <c r="AY290" s="493"/>
      <c r="AZ290" s="491">
        <v>68220</v>
      </c>
      <c r="BA290" s="492"/>
      <c r="BB290" s="101"/>
      <c r="BC290" s="487"/>
      <c r="BD290" s="493"/>
      <c r="BE290" s="491">
        <v>0</v>
      </c>
      <c r="BF290" s="492"/>
      <c r="BG290" s="101"/>
      <c r="BH290" s="487"/>
      <c r="BI290" s="493"/>
      <c r="BJ290" s="491">
        <v>119402</v>
      </c>
      <c r="BK290" s="492"/>
      <c r="BL290" s="101"/>
      <c r="BM290" s="487"/>
      <c r="BN290" s="493"/>
      <c r="BO290" s="491">
        <v>31938</v>
      </c>
      <c r="BP290" s="492"/>
      <c r="BQ290" s="101"/>
      <c r="BR290" s="487"/>
      <c r="BS290" s="493"/>
      <c r="BT290" s="491">
        <f>SUM(L290:BO290)</f>
        <v>706896</v>
      </c>
      <c r="BU290" s="492"/>
      <c r="BV290" s="101"/>
      <c r="BW290" s="398"/>
      <c r="BZ290" s="411"/>
      <c r="CA290" s="411"/>
    </row>
    <row r="291" spans="1:79" x14ac:dyDescent="0.3">
      <c r="A291" s="388"/>
      <c r="B291" s="388"/>
      <c r="D291" s="398"/>
      <c r="F291" s="388"/>
      <c r="G291" s="101"/>
      <c r="H291" s="101"/>
      <c r="I291" s="101"/>
      <c r="J291" s="487"/>
      <c r="K291" s="101"/>
      <c r="L291" s="101"/>
      <c r="M291" s="101"/>
      <c r="N291" s="101"/>
      <c r="O291" s="487"/>
      <c r="P291" s="101"/>
      <c r="Q291" s="101"/>
      <c r="R291" s="101"/>
      <c r="S291" s="101"/>
      <c r="T291" s="487"/>
      <c r="U291" s="101"/>
      <c r="V291" s="101"/>
      <c r="W291" s="101"/>
      <c r="X291" s="101"/>
      <c r="Y291" s="487"/>
      <c r="Z291" s="101"/>
      <c r="AA291" s="101"/>
      <c r="AB291" s="101"/>
      <c r="AC291" s="101"/>
      <c r="AD291" s="487"/>
      <c r="AE291" s="101"/>
      <c r="AF291" s="101"/>
      <c r="AG291" s="101"/>
      <c r="AH291" s="101"/>
      <c r="AI291" s="487"/>
      <c r="AJ291" s="101"/>
      <c r="AK291" s="101"/>
      <c r="AL291" s="101"/>
      <c r="AM291" s="101"/>
      <c r="AN291" s="487"/>
      <c r="AO291" s="101"/>
      <c r="AP291" s="101"/>
      <c r="AQ291" s="101"/>
      <c r="AR291" s="101"/>
      <c r="AS291" s="487"/>
      <c r="AT291" s="101"/>
      <c r="AU291" s="101"/>
      <c r="AV291" s="101"/>
      <c r="AW291" s="101"/>
      <c r="AX291" s="487"/>
      <c r="AY291" s="101"/>
      <c r="AZ291" s="101"/>
      <c r="BA291" s="101"/>
      <c r="BB291" s="101"/>
      <c r="BC291" s="487"/>
      <c r="BD291" s="101"/>
      <c r="BE291" s="101"/>
      <c r="BF291" s="101"/>
      <c r="BG291" s="101"/>
      <c r="BH291" s="487"/>
      <c r="BI291" s="101"/>
      <c r="BJ291" s="101"/>
      <c r="BK291" s="101"/>
      <c r="BL291" s="101"/>
      <c r="BM291" s="487"/>
      <c r="BN291" s="101"/>
      <c r="BO291" s="101"/>
      <c r="BP291" s="101"/>
      <c r="BQ291" s="101"/>
      <c r="BR291" s="487"/>
      <c r="BS291" s="101"/>
      <c r="BT291" s="101"/>
      <c r="BU291" s="101"/>
      <c r="BV291" s="101"/>
      <c r="BW291" s="398"/>
      <c r="BZ291" s="411"/>
      <c r="CA291" s="411"/>
    </row>
    <row r="292" spans="1:79" ht="12.75" customHeight="1" x14ac:dyDescent="0.3">
      <c r="A292" s="388"/>
      <c r="B292" s="388"/>
      <c r="D292" s="398" t="s">
        <v>434</v>
      </c>
      <c r="F292" s="388"/>
      <c r="G292" s="101">
        <f>SUM(G293:G293)</f>
        <v>77049</v>
      </c>
      <c r="H292" s="101"/>
      <c r="I292" s="101"/>
      <c r="J292" s="487"/>
      <c r="K292" s="101"/>
      <c r="L292" s="101">
        <f>SUM(L293:L293)</f>
        <v>0</v>
      </c>
      <c r="M292" s="101"/>
      <c r="N292" s="101"/>
      <c r="O292" s="487"/>
      <c r="P292" s="101"/>
      <c r="Q292" s="101">
        <f>SUM(Q293:Q293)</f>
        <v>0</v>
      </c>
      <c r="R292" s="101"/>
      <c r="S292" s="101"/>
      <c r="T292" s="487"/>
      <c r="U292" s="101"/>
      <c r="V292" s="101">
        <f>SUM(V293:V293)</f>
        <v>0</v>
      </c>
      <c r="W292" s="101"/>
      <c r="X292" s="101"/>
      <c r="Y292" s="487"/>
      <c r="Z292" s="101"/>
      <c r="AA292" s="101">
        <f>SUM(AA293:AA293)</f>
        <v>0</v>
      </c>
      <c r="AB292" s="101"/>
      <c r="AC292" s="101"/>
      <c r="AD292" s="487"/>
      <c r="AE292" s="101"/>
      <c r="AF292" s="101">
        <f>SUM(AF293:AF293)</f>
        <v>0</v>
      </c>
      <c r="AG292" s="101"/>
      <c r="AH292" s="101"/>
      <c r="AI292" s="487"/>
      <c r="AJ292" s="101"/>
      <c r="AK292" s="101">
        <f>SUM(AK293:AK293)</f>
        <v>0</v>
      </c>
      <c r="AL292" s="101"/>
      <c r="AM292" s="101"/>
      <c r="AN292" s="487"/>
      <c r="AO292" s="101"/>
      <c r="AP292" s="101">
        <f>SUM(AP293:AP293)</f>
        <v>0</v>
      </c>
      <c r="AQ292" s="101"/>
      <c r="AR292" s="101"/>
      <c r="AS292" s="487"/>
      <c r="AT292" s="101"/>
      <c r="AU292" s="101">
        <f>SUM(AU293:AU293)</f>
        <v>0</v>
      </c>
      <c r="AV292" s="101"/>
      <c r="AW292" s="101"/>
      <c r="AX292" s="487"/>
      <c r="AY292" s="101"/>
      <c r="AZ292" s="101">
        <f>SUM(AZ293:AZ293)</f>
        <v>77049</v>
      </c>
      <c r="BA292" s="101"/>
      <c r="BB292" s="101"/>
      <c r="BC292" s="487"/>
      <c r="BD292" s="101"/>
      <c r="BE292" s="101">
        <f>SUM(BE293:BE293)</f>
        <v>0</v>
      </c>
      <c r="BF292" s="101"/>
      <c r="BG292" s="101"/>
      <c r="BH292" s="487"/>
      <c r="BI292" s="101"/>
      <c r="BJ292" s="101">
        <f>SUM(BJ293:BJ293)</f>
        <v>0</v>
      </c>
      <c r="BK292" s="101"/>
      <c r="BL292" s="101"/>
      <c r="BM292" s="487"/>
      <c r="BN292" s="101"/>
      <c r="BO292" s="101">
        <f>SUM(BO293:BO293)</f>
        <v>0</v>
      </c>
      <c r="BP292" s="101"/>
      <c r="BQ292" s="101"/>
      <c r="BR292" s="487"/>
      <c r="BS292" s="101"/>
      <c r="BT292" s="101">
        <f>SUM(BT293:BT293)</f>
        <v>77049</v>
      </c>
      <c r="BU292" s="101"/>
      <c r="BV292" s="101"/>
      <c r="BW292" s="398"/>
      <c r="BZ292" s="411"/>
      <c r="CA292" s="411"/>
    </row>
    <row r="293" spans="1:79" ht="12.75" customHeight="1" x14ac:dyDescent="0.3">
      <c r="A293" s="388"/>
      <c r="B293" s="388"/>
      <c r="D293" s="398" t="s">
        <v>373</v>
      </c>
      <c r="F293" s="490"/>
      <c r="G293" s="491">
        <v>77049</v>
      </c>
      <c r="H293" s="492"/>
      <c r="I293" s="101"/>
      <c r="J293" s="487"/>
      <c r="K293" s="493"/>
      <c r="L293" s="491">
        <v>0</v>
      </c>
      <c r="M293" s="492"/>
      <c r="N293" s="101"/>
      <c r="O293" s="487"/>
      <c r="P293" s="493"/>
      <c r="Q293" s="491">
        <v>0</v>
      </c>
      <c r="R293" s="492"/>
      <c r="S293" s="101"/>
      <c r="T293" s="487"/>
      <c r="U293" s="493"/>
      <c r="V293" s="491">
        <v>0</v>
      </c>
      <c r="W293" s="492"/>
      <c r="X293" s="101"/>
      <c r="Y293" s="487"/>
      <c r="Z293" s="493"/>
      <c r="AA293" s="491">
        <v>0</v>
      </c>
      <c r="AB293" s="492"/>
      <c r="AC293" s="101"/>
      <c r="AD293" s="487"/>
      <c r="AE293" s="493"/>
      <c r="AF293" s="491">
        <v>0</v>
      </c>
      <c r="AG293" s="492"/>
      <c r="AH293" s="101"/>
      <c r="AI293" s="487"/>
      <c r="AJ293" s="493"/>
      <c r="AK293" s="491">
        <v>0</v>
      </c>
      <c r="AL293" s="492"/>
      <c r="AM293" s="101"/>
      <c r="AN293" s="487"/>
      <c r="AO293" s="493"/>
      <c r="AP293" s="491">
        <v>0</v>
      </c>
      <c r="AQ293" s="492"/>
      <c r="AR293" s="101"/>
      <c r="AS293" s="487"/>
      <c r="AT293" s="493"/>
      <c r="AU293" s="491">
        <v>0</v>
      </c>
      <c r="AV293" s="492"/>
      <c r="AW293" s="101"/>
      <c r="AX293" s="487"/>
      <c r="AY293" s="493"/>
      <c r="AZ293" s="491">
        <v>77049</v>
      </c>
      <c r="BA293" s="492"/>
      <c r="BB293" s="101"/>
      <c r="BC293" s="487"/>
      <c r="BD293" s="493"/>
      <c r="BE293" s="491">
        <v>0</v>
      </c>
      <c r="BF293" s="492"/>
      <c r="BG293" s="101"/>
      <c r="BH293" s="487"/>
      <c r="BI293" s="493"/>
      <c r="BJ293" s="491">
        <v>0</v>
      </c>
      <c r="BK293" s="492"/>
      <c r="BL293" s="101"/>
      <c r="BM293" s="487"/>
      <c r="BN293" s="493"/>
      <c r="BO293" s="491">
        <v>0</v>
      </c>
      <c r="BP293" s="492"/>
      <c r="BQ293" s="101"/>
      <c r="BR293" s="487"/>
      <c r="BS293" s="493"/>
      <c r="BT293" s="491">
        <f>SUM(L293:BO293)</f>
        <v>77049</v>
      </c>
      <c r="BU293" s="492"/>
      <c r="BV293" s="101"/>
      <c r="BW293" s="398"/>
      <c r="BZ293" s="411"/>
      <c r="CA293" s="411"/>
    </row>
    <row r="294" spans="1:79" ht="12.75" customHeight="1" x14ac:dyDescent="0.3">
      <c r="A294" s="388"/>
      <c r="B294" s="388"/>
      <c r="D294" s="398"/>
      <c r="F294" s="388"/>
      <c r="G294" s="101"/>
      <c r="H294" s="101"/>
      <c r="I294" s="101"/>
      <c r="J294" s="487"/>
      <c r="K294" s="101"/>
      <c r="L294" s="101"/>
      <c r="M294" s="101"/>
      <c r="N294" s="101"/>
      <c r="O294" s="487"/>
      <c r="P294" s="101"/>
      <c r="Q294" s="101"/>
      <c r="R294" s="101"/>
      <c r="S294" s="101"/>
      <c r="T294" s="487"/>
      <c r="U294" s="101"/>
      <c r="V294" s="101"/>
      <c r="W294" s="101"/>
      <c r="X294" s="101"/>
      <c r="Y294" s="487"/>
      <c r="Z294" s="101"/>
      <c r="AA294" s="101"/>
      <c r="AB294" s="101"/>
      <c r="AC294" s="101"/>
      <c r="AD294" s="487"/>
      <c r="AE294" s="101"/>
      <c r="AF294" s="101"/>
      <c r="AG294" s="101"/>
      <c r="AH294" s="101"/>
      <c r="AI294" s="487"/>
      <c r="AJ294" s="101"/>
      <c r="AK294" s="101"/>
      <c r="AL294" s="101"/>
      <c r="AM294" s="101"/>
      <c r="AN294" s="487"/>
      <c r="AO294" s="101"/>
      <c r="AP294" s="101"/>
      <c r="AQ294" s="101"/>
      <c r="AR294" s="101"/>
      <c r="AS294" s="487"/>
      <c r="AT294" s="101"/>
      <c r="AU294" s="101"/>
      <c r="AV294" s="101"/>
      <c r="AW294" s="101"/>
      <c r="AX294" s="487"/>
      <c r="AY294" s="101"/>
      <c r="AZ294" s="101"/>
      <c r="BA294" s="101"/>
      <c r="BB294" s="101"/>
      <c r="BC294" s="487"/>
      <c r="BD294" s="101"/>
      <c r="BE294" s="101"/>
      <c r="BF294" s="101"/>
      <c r="BG294" s="101"/>
      <c r="BH294" s="487"/>
      <c r="BI294" s="101"/>
      <c r="BJ294" s="101"/>
      <c r="BK294" s="101"/>
      <c r="BL294" s="101"/>
      <c r="BM294" s="487"/>
      <c r="BN294" s="101"/>
      <c r="BO294" s="101"/>
      <c r="BP294" s="101"/>
      <c r="BQ294" s="101"/>
      <c r="BR294" s="487"/>
      <c r="BS294" s="101"/>
      <c r="BT294" s="101"/>
      <c r="BU294" s="101"/>
      <c r="BV294" s="101"/>
      <c r="BW294" s="398"/>
      <c r="BZ294" s="411"/>
      <c r="CA294" s="411"/>
    </row>
    <row r="295" spans="1:79" x14ac:dyDescent="0.3">
      <c r="A295" s="388"/>
      <c r="B295" s="388"/>
      <c r="D295" s="398" t="s">
        <v>384</v>
      </c>
      <c r="F295" s="388"/>
      <c r="G295" s="101">
        <f>SUM(G296:G296)</f>
        <v>117363</v>
      </c>
      <c r="H295" s="101"/>
      <c r="I295" s="101"/>
      <c r="J295" s="487"/>
      <c r="K295" s="101"/>
      <c r="L295" s="101">
        <f>SUM(L296:L296)</f>
        <v>0</v>
      </c>
      <c r="M295" s="101"/>
      <c r="N295" s="101"/>
      <c r="O295" s="487"/>
      <c r="P295" s="101"/>
      <c r="Q295" s="101">
        <f>SUM(Q296:Q296)</f>
        <v>29682</v>
      </c>
      <c r="R295" s="101"/>
      <c r="S295" s="101"/>
      <c r="T295" s="487"/>
      <c r="U295" s="101"/>
      <c r="V295" s="101">
        <f>SUM(V296:V296)</f>
        <v>28489</v>
      </c>
      <c r="W295" s="101"/>
      <c r="X295" s="101"/>
      <c r="Y295" s="487"/>
      <c r="Z295" s="101"/>
      <c r="AA295" s="101">
        <f>SUM(AA296:AA296)</f>
        <v>0</v>
      </c>
      <c r="AB295" s="101"/>
      <c r="AC295" s="101"/>
      <c r="AD295" s="487"/>
      <c r="AE295" s="101"/>
      <c r="AF295" s="101">
        <f>SUM(AF296:AF296)</f>
        <v>0</v>
      </c>
      <c r="AG295" s="101"/>
      <c r="AH295" s="101"/>
      <c r="AI295" s="487"/>
      <c r="AJ295" s="101"/>
      <c r="AK295" s="101">
        <f>SUM(AK296:AK296)</f>
        <v>0</v>
      </c>
      <c r="AL295" s="101"/>
      <c r="AM295" s="101"/>
      <c r="AN295" s="487"/>
      <c r="AO295" s="101"/>
      <c r="AP295" s="101">
        <f>SUM(AP296:AP296)</f>
        <v>0</v>
      </c>
      <c r="AQ295" s="101"/>
      <c r="AR295" s="101"/>
      <c r="AS295" s="487"/>
      <c r="AT295" s="101"/>
      <c r="AU295" s="101">
        <f>SUM(AU296:AU296)</f>
        <v>0</v>
      </c>
      <c r="AV295" s="101"/>
      <c r="AW295" s="101"/>
      <c r="AX295" s="487"/>
      <c r="AY295" s="101"/>
      <c r="AZ295" s="101">
        <f>SUM(AZ296:AZ296)</f>
        <v>59192</v>
      </c>
      <c r="BA295" s="101"/>
      <c r="BB295" s="101"/>
      <c r="BC295" s="487"/>
      <c r="BD295" s="101"/>
      <c r="BE295" s="101">
        <f>SUM(BE296:BE296)</f>
        <v>0</v>
      </c>
      <c r="BF295" s="101"/>
      <c r="BG295" s="101"/>
      <c r="BH295" s="487"/>
      <c r="BI295" s="101"/>
      <c r="BJ295" s="101">
        <f>SUM(BJ296:BJ296)</f>
        <v>783477</v>
      </c>
      <c r="BK295" s="101"/>
      <c r="BL295" s="101"/>
      <c r="BM295" s="487"/>
      <c r="BN295" s="101"/>
      <c r="BO295" s="101">
        <f>SUM(BO296:BO296)</f>
        <v>1374648</v>
      </c>
      <c r="BP295" s="101"/>
      <c r="BQ295" s="101"/>
      <c r="BR295" s="487"/>
      <c r="BS295" s="101"/>
      <c r="BT295" s="101">
        <f>SUM(BT296:BT296)</f>
        <v>2275488</v>
      </c>
      <c r="BU295" s="101"/>
      <c r="BV295" s="101"/>
      <c r="BW295" s="398"/>
      <c r="BZ295" s="411"/>
      <c r="CA295" s="411"/>
    </row>
    <row r="296" spans="1:79" x14ac:dyDescent="0.3">
      <c r="A296" s="388"/>
      <c r="B296" s="388"/>
      <c r="D296" s="398" t="s">
        <v>373</v>
      </c>
      <c r="F296" s="490"/>
      <c r="G296" s="491">
        <v>117363</v>
      </c>
      <c r="H296" s="492"/>
      <c r="I296" s="101"/>
      <c r="J296" s="487"/>
      <c r="K296" s="493"/>
      <c r="L296" s="491">
        <v>0</v>
      </c>
      <c r="M296" s="492"/>
      <c r="N296" s="101"/>
      <c r="O296" s="487"/>
      <c r="P296" s="493"/>
      <c r="Q296" s="491">
        <v>29682</v>
      </c>
      <c r="R296" s="492"/>
      <c r="S296" s="101"/>
      <c r="T296" s="487"/>
      <c r="U296" s="493"/>
      <c r="V296" s="491">
        <v>28489</v>
      </c>
      <c r="W296" s="492"/>
      <c r="X296" s="101"/>
      <c r="Y296" s="487"/>
      <c r="Z296" s="493"/>
      <c r="AA296" s="491">
        <v>0</v>
      </c>
      <c r="AB296" s="492"/>
      <c r="AC296" s="101"/>
      <c r="AD296" s="487"/>
      <c r="AE296" s="493"/>
      <c r="AF296" s="491">
        <v>0</v>
      </c>
      <c r="AG296" s="492"/>
      <c r="AH296" s="101"/>
      <c r="AI296" s="487"/>
      <c r="AJ296" s="493"/>
      <c r="AK296" s="491">
        <v>0</v>
      </c>
      <c r="AL296" s="492"/>
      <c r="AM296" s="101"/>
      <c r="AN296" s="487"/>
      <c r="AO296" s="493"/>
      <c r="AP296" s="491">
        <v>0</v>
      </c>
      <c r="AQ296" s="492"/>
      <c r="AR296" s="101"/>
      <c r="AS296" s="487"/>
      <c r="AT296" s="493"/>
      <c r="AU296" s="491">
        <v>0</v>
      </c>
      <c r="AV296" s="492"/>
      <c r="AW296" s="101"/>
      <c r="AX296" s="487"/>
      <c r="AY296" s="493"/>
      <c r="AZ296" s="491">
        <v>59192</v>
      </c>
      <c r="BA296" s="492"/>
      <c r="BB296" s="101"/>
      <c r="BC296" s="487"/>
      <c r="BD296" s="493"/>
      <c r="BE296" s="491">
        <v>0</v>
      </c>
      <c r="BF296" s="492"/>
      <c r="BG296" s="101"/>
      <c r="BH296" s="487"/>
      <c r="BI296" s="493"/>
      <c r="BJ296" s="491">
        <v>783477</v>
      </c>
      <c r="BK296" s="492"/>
      <c r="BL296" s="101"/>
      <c r="BM296" s="487"/>
      <c r="BN296" s="493"/>
      <c r="BO296" s="491">
        <v>1374648</v>
      </c>
      <c r="BP296" s="492"/>
      <c r="BQ296" s="101"/>
      <c r="BR296" s="487"/>
      <c r="BS296" s="493"/>
      <c r="BT296" s="491">
        <f>SUM(L296:BO296)</f>
        <v>2275488</v>
      </c>
      <c r="BU296" s="492"/>
      <c r="BV296" s="101"/>
      <c r="BW296" s="398"/>
      <c r="BZ296" s="411"/>
      <c r="CA296" s="411"/>
    </row>
    <row r="297" spans="1:79" x14ac:dyDescent="0.3">
      <c r="A297" s="388"/>
      <c r="B297" s="388"/>
      <c r="D297" s="398"/>
      <c r="F297" s="388"/>
      <c r="G297" s="101"/>
      <c r="H297" s="101"/>
      <c r="I297" s="101"/>
      <c r="J297" s="487"/>
      <c r="K297" s="101"/>
      <c r="L297" s="101"/>
      <c r="M297" s="101"/>
      <c r="N297" s="101"/>
      <c r="O297" s="487"/>
      <c r="P297" s="101"/>
      <c r="Q297" s="101"/>
      <c r="R297" s="101"/>
      <c r="S297" s="101"/>
      <c r="T297" s="487"/>
      <c r="U297" s="101"/>
      <c r="V297" s="101"/>
      <c r="W297" s="101"/>
      <c r="X297" s="101"/>
      <c r="Y297" s="487"/>
      <c r="Z297" s="101"/>
      <c r="AA297" s="101"/>
      <c r="AB297" s="101"/>
      <c r="AC297" s="101"/>
      <c r="AD297" s="487"/>
      <c r="AE297" s="101"/>
      <c r="AF297" s="101"/>
      <c r="AG297" s="101"/>
      <c r="AH297" s="101"/>
      <c r="AI297" s="487"/>
      <c r="AJ297" s="101"/>
      <c r="AK297" s="101"/>
      <c r="AL297" s="101"/>
      <c r="AM297" s="101"/>
      <c r="AN297" s="487"/>
      <c r="AO297" s="101"/>
      <c r="AP297" s="101"/>
      <c r="AQ297" s="101"/>
      <c r="AR297" s="101"/>
      <c r="AS297" s="487"/>
      <c r="AT297" s="101"/>
      <c r="AU297" s="101"/>
      <c r="AV297" s="101"/>
      <c r="AW297" s="101"/>
      <c r="AX297" s="487"/>
      <c r="AY297" s="101"/>
      <c r="AZ297" s="101"/>
      <c r="BA297" s="101"/>
      <c r="BB297" s="101"/>
      <c r="BC297" s="487"/>
      <c r="BD297" s="101"/>
      <c r="BE297" s="101"/>
      <c r="BF297" s="101"/>
      <c r="BG297" s="101"/>
      <c r="BH297" s="487"/>
      <c r="BI297" s="101"/>
      <c r="BJ297" s="101"/>
      <c r="BK297" s="101"/>
      <c r="BL297" s="101"/>
      <c r="BM297" s="487"/>
      <c r="BN297" s="101"/>
      <c r="BO297" s="101"/>
      <c r="BP297" s="101"/>
      <c r="BQ297" s="101"/>
      <c r="BR297" s="487"/>
      <c r="BS297" s="101"/>
      <c r="BT297" s="101"/>
      <c r="BU297" s="101"/>
      <c r="BV297" s="101"/>
      <c r="BW297" s="398"/>
      <c r="BZ297" s="411"/>
      <c r="CA297" s="411"/>
    </row>
    <row r="298" spans="1:79" ht="12.75" customHeight="1" x14ac:dyDescent="0.3">
      <c r="A298" s="388"/>
      <c r="B298" s="388"/>
      <c r="D298" s="398" t="s">
        <v>399</v>
      </c>
      <c r="F298" s="388"/>
      <c r="G298" s="101">
        <f>SUM(G299:G299)</f>
        <v>218557</v>
      </c>
      <c r="H298" s="101"/>
      <c r="I298" s="101"/>
      <c r="J298" s="487"/>
      <c r="K298" s="101"/>
      <c r="L298" s="101">
        <f>SUM(L299:L299)</f>
        <v>0</v>
      </c>
      <c r="M298" s="101"/>
      <c r="N298" s="101"/>
      <c r="O298" s="487"/>
      <c r="P298" s="101"/>
      <c r="Q298" s="101">
        <f>SUM(Q299:Q299)</f>
        <v>0</v>
      </c>
      <c r="R298" s="101"/>
      <c r="S298" s="101"/>
      <c r="T298" s="487"/>
      <c r="U298" s="101"/>
      <c r="V298" s="101"/>
      <c r="W298" s="101"/>
      <c r="X298" s="101"/>
      <c r="Y298" s="487"/>
      <c r="Z298" s="101"/>
      <c r="AA298" s="101">
        <f>+AA299</f>
        <v>0</v>
      </c>
      <c r="AB298" s="101"/>
      <c r="AC298" s="101"/>
      <c r="AD298" s="487"/>
      <c r="AE298" s="101"/>
      <c r="AF298" s="101"/>
      <c r="AG298" s="101"/>
      <c r="AH298" s="101"/>
      <c r="AI298" s="487"/>
      <c r="AJ298" s="101"/>
      <c r="AK298" s="101">
        <f>SUM(AK299:AK299)</f>
        <v>0</v>
      </c>
      <c r="AL298" s="101"/>
      <c r="AM298" s="101"/>
      <c r="AN298" s="487"/>
      <c r="AO298" s="101"/>
      <c r="AP298" s="101"/>
      <c r="AQ298" s="101"/>
      <c r="AR298" s="101"/>
      <c r="AS298" s="487"/>
      <c r="AT298" s="101"/>
      <c r="AU298" s="101">
        <f>SUM(AU299)</f>
        <v>85877</v>
      </c>
      <c r="AV298" s="101"/>
      <c r="AW298" s="101"/>
      <c r="AX298" s="487"/>
      <c r="AY298" s="101"/>
      <c r="AZ298" s="101"/>
      <c r="BA298" s="101"/>
      <c r="BB298" s="101"/>
      <c r="BC298" s="487"/>
      <c r="BD298" s="101"/>
      <c r="BE298" s="101">
        <f>SUM(BE299:BE299)</f>
        <v>132680</v>
      </c>
      <c r="BF298" s="101"/>
      <c r="BG298" s="101"/>
      <c r="BH298" s="487"/>
      <c r="BI298" s="101"/>
      <c r="BJ298" s="101">
        <f>SUM(BJ299:BJ299)</f>
        <v>0</v>
      </c>
      <c r="BK298" s="101"/>
      <c r="BL298" s="101"/>
      <c r="BM298" s="487"/>
      <c r="BN298" s="101"/>
      <c r="BO298" s="101">
        <f>SUM(BO299:BO299)</f>
        <v>0</v>
      </c>
      <c r="BP298" s="101"/>
      <c r="BQ298" s="101"/>
      <c r="BR298" s="487"/>
      <c r="BS298" s="101"/>
      <c r="BT298" s="101">
        <f>SUM(BT299:BT299)</f>
        <v>218557</v>
      </c>
      <c r="BU298" s="101"/>
      <c r="BV298" s="101"/>
      <c r="BW298" s="398"/>
      <c r="BZ298" s="411"/>
      <c r="CA298" s="411"/>
    </row>
    <row r="299" spans="1:79" ht="12.75" customHeight="1" x14ac:dyDescent="0.3">
      <c r="A299" s="388"/>
      <c r="B299" s="388"/>
      <c r="D299" s="398" t="s">
        <v>373</v>
      </c>
      <c r="F299" s="490"/>
      <c r="G299" s="491">
        <v>218557</v>
      </c>
      <c r="H299" s="492"/>
      <c r="I299" s="101"/>
      <c r="J299" s="487"/>
      <c r="K299" s="493"/>
      <c r="L299" s="517">
        <v>0</v>
      </c>
      <c r="M299" s="492"/>
      <c r="N299" s="101"/>
      <c r="O299" s="487"/>
      <c r="P299" s="493"/>
      <c r="Q299" s="517">
        <v>0</v>
      </c>
      <c r="R299" s="492"/>
      <c r="S299" s="101"/>
      <c r="T299" s="487"/>
      <c r="U299" s="493"/>
      <c r="V299" s="517">
        <v>0</v>
      </c>
      <c r="W299" s="492"/>
      <c r="X299" s="49"/>
      <c r="Y299" s="487"/>
      <c r="Z299" s="493"/>
      <c r="AA299" s="517">
        <v>0</v>
      </c>
      <c r="AB299" s="492"/>
      <c r="AC299" s="46"/>
      <c r="AD299" s="487"/>
      <c r="AE299" s="493"/>
      <c r="AF299" s="517">
        <v>0</v>
      </c>
      <c r="AG299" s="492"/>
      <c r="AH299" s="101"/>
      <c r="AI299" s="487"/>
      <c r="AJ299" s="493"/>
      <c r="AK299" s="517">
        <v>0</v>
      </c>
      <c r="AL299" s="492"/>
      <c r="AM299" s="101"/>
      <c r="AN299" s="487"/>
      <c r="AO299" s="493"/>
      <c r="AP299" s="517">
        <v>0</v>
      </c>
      <c r="AQ299" s="492"/>
      <c r="AR299" s="101"/>
      <c r="AS299" s="487"/>
      <c r="AT299" s="493"/>
      <c r="AU299" s="517">
        <v>85877</v>
      </c>
      <c r="AV299" s="492"/>
      <c r="AW299" s="101"/>
      <c r="AX299" s="487"/>
      <c r="AY299" s="493"/>
      <c r="AZ299" s="517">
        <v>0</v>
      </c>
      <c r="BA299" s="492"/>
      <c r="BB299" s="101"/>
      <c r="BC299" s="487"/>
      <c r="BD299" s="493"/>
      <c r="BE299" s="517">
        <v>132680</v>
      </c>
      <c r="BF299" s="492"/>
      <c r="BG299" s="101"/>
      <c r="BH299" s="487"/>
      <c r="BI299" s="493"/>
      <c r="BJ299" s="517">
        <v>0</v>
      </c>
      <c r="BK299" s="492"/>
      <c r="BL299" s="101"/>
      <c r="BM299" s="487"/>
      <c r="BN299" s="493"/>
      <c r="BO299" s="517">
        <v>0</v>
      </c>
      <c r="BP299" s="492"/>
      <c r="BQ299" s="101"/>
      <c r="BR299" s="487"/>
      <c r="BS299" s="490"/>
      <c r="BT299" s="517">
        <f>SUM(L299:BO299)</f>
        <v>218557</v>
      </c>
      <c r="BU299" s="492"/>
      <c r="BV299" s="101"/>
      <c r="BW299" s="398"/>
      <c r="BZ299" s="411"/>
      <c r="CA299" s="411"/>
    </row>
    <row r="300" spans="1:79" ht="12.75" customHeight="1" x14ac:dyDescent="0.3">
      <c r="A300" s="388"/>
      <c r="B300" s="388"/>
      <c r="D300" s="398"/>
      <c r="F300" s="388"/>
      <c r="G300" s="101"/>
      <c r="H300" s="101"/>
      <c r="I300" s="101"/>
      <c r="J300" s="487"/>
      <c r="K300" s="101"/>
      <c r="L300" s="101"/>
      <c r="M300" s="101"/>
      <c r="N300" s="101"/>
      <c r="O300" s="487"/>
      <c r="P300" s="101"/>
      <c r="Q300" s="101"/>
      <c r="R300" s="101"/>
      <c r="S300" s="101"/>
      <c r="T300" s="487"/>
      <c r="U300" s="101"/>
      <c r="V300" s="101"/>
      <c r="W300" s="101"/>
      <c r="X300" s="101"/>
      <c r="Y300" s="487"/>
      <c r="Z300" s="101"/>
      <c r="AA300" s="101"/>
      <c r="AB300" s="101"/>
      <c r="AC300" s="101"/>
      <c r="AD300" s="487"/>
      <c r="AE300" s="101"/>
      <c r="AF300" s="101"/>
      <c r="AG300" s="101"/>
      <c r="AH300" s="101"/>
      <c r="AI300" s="487"/>
      <c r="AJ300" s="101"/>
      <c r="AK300" s="101"/>
      <c r="AL300" s="101"/>
      <c r="AM300" s="101"/>
      <c r="AN300" s="487"/>
      <c r="AO300" s="101"/>
      <c r="AP300" s="101"/>
      <c r="AQ300" s="101"/>
      <c r="AR300" s="101"/>
      <c r="AS300" s="487"/>
      <c r="AT300" s="101"/>
      <c r="AU300" s="101"/>
      <c r="AV300" s="101"/>
      <c r="AW300" s="101"/>
      <c r="AX300" s="487"/>
      <c r="AY300" s="101"/>
      <c r="AZ300" s="101"/>
      <c r="BA300" s="101"/>
      <c r="BB300" s="101"/>
      <c r="BC300" s="487"/>
      <c r="BD300" s="101"/>
      <c r="BE300" s="101"/>
      <c r="BF300" s="101"/>
      <c r="BG300" s="101"/>
      <c r="BH300" s="487"/>
      <c r="BI300" s="101"/>
      <c r="BJ300" s="101"/>
      <c r="BK300" s="101"/>
      <c r="BL300" s="101"/>
      <c r="BM300" s="487"/>
      <c r="BN300" s="101"/>
      <c r="BO300" s="101"/>
      <c r="BP300" s="101"/>
      <c r="BQ300" s="101"/>
      <c r="BR300" s="487"/>
      <c r="BS300" s="101"/>
      <c r="BT300" s="101"/>
      <c r="BU300" s="101"/>
      <c r="BV300" s="101"/>
      <c r="BW300" s="398"/>
      <c r="BZ300" s="411"/>
      <c r="CA300" s="411"/>
    </row>
    <row r="301" spans="1:79" x14ac:dyDescent="0.3">
      <c r="A301" s="388"/>
      <c r="B301" s="388"/>
      <c r="D301" s="398" t="s">
        <v>406</v>
      </c>
      <c r="F301" s="388"/>
      <c r="G301" s="101">
        <f>SUM(G302:G302)</f>
        <v>0</v>
      </c>
      <c r="H301" s="101"/>
      <c r="I301" s="101"/>
      <c r="J301" s="487"/>
      <c r="K301" s="101"/>
      <c r="L301" s="101">
        <f>SUM(L302:L302)</f>
        <v>0</v>
      </c>
      <c r="M301" s="101"/>
      <c r="N301" s="101"/>
      <c r="O301" s="487"/>
      <c r="P301" s="101"/>
      <c r="Q301" s="101">
        <f>SUM(Q302:Q302)</f>
        <v>0</v>
      </c>
      <c r="R301" s="101"/>
      <c r="S301" s="101"/>
      <c r="T301" s="487"/>
      <c r="U301" s="101"/>
      <c r="V301" s="101">
        <f>SUM(V302:V302)</f>
        <v>0</v>
      </c>
      <c r="W301" s="101"/>
      <c r="X301" s="101"/>
      <c r="Y301" s="487"/>
      <c r="Z301" s="101"/>
      <c r="AA301" s="101">
        <f>SUM(AA302:AA302)</f>
        <v>0</v>
      </c>
      <c r="AB301" s="101"/>
      <c r="AC301" s="101"/>
      <c r="AD301" s="487"/>
      <c r="AE301" s="101"/>
      <c r="AF301" s="101">
        <f>SUM(AF302:AF302)</f>
        <v>0</v>
      </c>
      <c r="AG301" s="101"/>
      <c r="AH301" s="101"/>
      <c r="AI301" s="487"/>
      <c r="AJ301" s="101"/>
      <c r="AK301" s="101">
        <f>SUM(AK302:AK302)</f>
        <v>0</v>
      </c>
      <c r="AL301" s="101"/>
      <c r="AM301" s="101"/>
      <c r="AN301" s="487"/>
      <c r="AO301" s="101"/>
      <c r="AP301" s="101">
        <f>SUM(AP302:AP302)</f>
        <v>0</v>
      </c>
      <c r="AQ301" s="101"/>
      <c r="AR301" s="101"/>
      <c r="AS301" s="487"/>
      <c r="AT301" s="101"/>
      <c r="AU301" s="101">
        <f>SUM(AU302:AU302)</f>
        <v>0</v>
      </c>
      <c r="AV301" s="101"/>
      <c r="AW301" s="101"/>
      <c r="AX301" s="487"/>
      <c r="AY301" s="101"/>
      <c r="AZ301" s="101">
        <f>SUM(AZ302:AZ302)</f>
        <v>0</v>
      </c>
      <c r="BA301" s="101"/>
      <c r="BB301" s="101"/>
      <c r="BC301" s="487"/>
      <c r="BD301" s="101"/>
      <c r="BE301" s="101">
        <f>SUM(BE302:BE302)</f>
        <v>0</v>
      </c>
      <c r="BF301" s="101"/>
      <c r="BG301" s="101"/>
      <c r="BH301" s="487"/>
      <c r="BI301" s="101"/>
      <c r="BJ301" s="101">
        <f>SUM(BJ302:BJ302)</f>
        <v>0</v>
      </c>
      <c r="BK301" s="101"/>
      <c r="BL301" s="101"/>
      <c r="BM301" s="487"/>
      <c r="BN301" s="101"/>
      <c r="BO301" s="101">
        <f>SUM(BO302:BO302)</f>
        <v>40151</v>
      </c>
      <c r="BP301" s="101"/>
      <c r="BQ301" s="101"/>
      <c r="BR301" s="487"/>
      <c r="BS301" s="101"/>
      <c r="BT301" s="101">
        <f>SUM(BT302:BT302)</f>
        <v>40151</v>
      </c>
      <c r="BU301" s="101"/>
      <c r="BV301" s="101"/>
      <c r="BW301" s="398"/>
      <c r="BZ301" s="411"/>
      <c r="CA301" s="411"/>
    </row>
    <row r="302" spans="1:79" x14ac:dyDescent="0.3">
      <c r="A302" s="388"/>
      <c r="B302" s="388"/>
      <c r="D302" s="398" t="s">
        <v>373</v>
      </c>
      <c r="F302" s="490"/>
      <c r="G302" s="491">
        <v>0</v>
      </c>
      <c r="H302" s="492"/>
      <c r="I302" s="101"/>
      <c r="J302" s="487"/>
      <c r="K302" s="493"/>
      <c r="L302" s="517">
        <v>0</v>
      </c>
      <c r="M302" s="492"/>
      <c r="N302" s="101"/>
      <c r="O302" s="487"/>
      <c r="P302" s="493"/>
      <c r="Q302" s="517">
        <v>0</v>
      </c>
      <c r="R302" s="492"/>
      <c r="S302" s="101"/>
      <c r="T302" s="487"/>
      <c r="U302" s="493"/>
      <c r="V302" s="517">
        <v>0</v>
      </c>
      <c r="W302" s="492"/>
      <c r="X302" s="49"/>
      <c r="Y302" s="487"/>
      <c r="Z302" s="493"/>
      <c r="AA302" s="517">
        <v>0</v>
      </c>
      <c r="AB302" s="492"/>
      <c r="AC302" s="46"/>
      <c r="AD302" s="487"/>
      <c r="AE302" s="493"/>
      <c r="AF302" s="517">
        <v>0</v>
      </c>
      <c r="AG302" s="492"/>
      <c r="AH302" s="101"/>
      <c r="AI302" s="487"/>
      <c r="AJ302" s="493"/>
      <c r="AK302" s="517">
        <v>0</v>
      </c>
      <c r="AL302" s="492"/>
      <c r="AM302" s="101"/>
      <c r="AN302" s="487"/>
      <c r="AO302" s="493"/>
      <c r="AP302" s="517">
        <v>0</v>
      </c>
      <c r="AQ302" s="492"/>
      <c r="AR302" s="101"/>
      <c r="AS302" s="487"/>
      <c r="AT302" s="493"/>
      <c r="AU302" s="517">
        <v>0</v>
      </c>
      <c r="AV302" s="492"/>
      <c r="AW302" s="101"/>
      <c r="AX302" s="487"/>
      <c r="AY302" s="493"/>
      <c r="AZ302" s="517">
        <v>0</v>
      </c>
      <c r="BA302" s="492"/>
      <c r="BB302" s="101"/>
      <c r="BC302" s="487"/>
      <c r="BD302" s="493"/>
      <c r="BE302" s="517">
        <v>0</v>
      </c>
      <c r="BF302" s="492"/>
      <c r="BG302" s="101"/>
      <c r="BH302" s="487"/>
      <c r="BI302" s="493"/>
      <c r="BJ302" s="517">
        <v>0</v>
      </c>
      <c r="BK302" s="492"/>
      <c r="BL302" s="101"/>
      <c r="BM302" s="487"/>
      <c r="BN302" s="493"/>
      <c r="BO302" s="517">
        <v>40151</v>
      </c>
      <c r="BP302" s="492">
        <v>0</v>
      </c>
      <c r="BQ302" s="101"/>
      <c r="BR302" s="487"/>
      <c r="BS302" s="490">
        <v>54207</v>
      </c>
      <c r="BT302" s="517">
        <f>SUM(L302:BO302)</f>
        <v>40151</v>
      </c>
      <c r="BU302" s="492">
        <v>0</v>
      </c>
      <c r="BV302" s="101"/>
      <c r="BW302" s="398"/>
      <c r="BZ302" s="411"/>
      <c r="CA302" s="411"/>
    </row>
    <row r="303" spans="1:79" x14ac:dyDescent="0.3">
      <c r="A303" s="388"/>
      <c r="B303" s="388"/>
      <c r="D303" s="398"/>
      <c r="F303" s="388"/>
      <c r="G303" s="101"/>
      <c r="H303" s="101"/>
      <c r="I303" s="101"/>
      <c r="J303" s="487"/>
      <c r="K303" s="101"/>
      <c r="L303" s="101"/>
      <c r="M303" s="101"/>
      <c r="N303" s="101"/>
      <c r="O303" s="487"/>
      <c r="P303" s="101"/>
      <c r="Q303" s="101"/>
      <c r="R303" s="101"/>
      <c r="S303" s="101"/>
      <c r="T303" s="487"/>
      <c r="U303" s="101"/>
      <c r="V303" s="101"/>
      <c r="W303" s="101"/>
      <c r="X303" s="101"/>
      <c r="Y303" s="487"/>
      <c r="Z303" s="101"/>
      <c r="AA303" s="101"/>
      <c r="AB303" s="101"/>
      <c r="AC303" s="101"/>
      <c r="AD303" s="487"/>
      <c r="AE303" s="101"/>
      <c r="AF303" s="101"/>
      <c r="AG303" s="101"/>
      <c r="AH303" s="101"/>
      <c r="AI303" s="487"/>
      <c r="AJ303" s="101"/>
      <c r="AK303" s="101"/>
      <c r="AL303" s="101"/>
      <c r="AM303" s="101"/>
      <c r="AN303" s="487"/>
      <c r="AO303" s="101"/>
      <c r="AP303" s="101"/>
      <c r="AQ303" s="101"/>
      <c r="AR303" s="101"/>
      <c r="AS303" s="487"/>
      <c r="AT303" s="101"/>
      <c r="AU303" s="101"/>
      <c r="AV303" s="101"/>
      <c r="AW303" s="101"/>
      <c r="AX303" s="487"/>
      <c r="AY303" s="101"/>
      <c r="AZ303" s="101"/>
      <c r="BA303" s="101"/>
      <c r="BB303" s="101"/>
      <c r="BC303" s="487"/>
      <c r="BD303" s="101"/>
      <c r="BE303" s="101"/>
      <c r="BF303" s="101"/>
      <c r="BG303" s="101"/>
      <c r="BH303" s="487"/>
      <c r="BI303" s="101"/>
      <c r="BJ303" s="101"/>
      <c r="BK303" s="101"/>
      <c r="BL303" s="101"/>
      <c r="BM303" s="487"/>
      <c r="BN303" s="101"/>
      <c r="BO303" s="101"/>
      <c r="BP303" s="101"/>
      <c r="BQ303" s="101"/>
      <c r="BR303" s="487"/>
      <c r="BS303" s="101"/>
      <c r="BT303" s="101"/>
      <c r="BU303" s="101"/>
      <c r="BV303" s="101"/>
      <c r="BW303" s="398"/>
      <c r="BZ303" s="411"/>
      <c r="CA303" s="411"/>
    </row>
    <row r="304" spans="1:79" ht="12.75" customHeight="1" x14ac:dyDescent="0.3">
      <c r="A304" s="388"/>
      <c r="B304" s="388"/>
      <c r="D304" s="398" t="s">
        <v>386</v>
      </c>
      <c r="F304" s="388"/>
      <c r="G304" s="101">
        <f>SUM(G305)</f>
        <v>0</v>
      </c>
      <c r="H304" s="101"/>
      <c r="I304" s="101"/>
      <c r="J304" s="487"/>
      <c r="K304" s="101"/>
      <c r="L304" s="101">
        <f>SUM(L305:L305)</f>
        <v>0</v>
      </c>
      <c r="M304" s="101"/>
      <c r="N304" s="101"/>
      <c r="O304" s="487"/>
      <c r="P304" s="101"/>
      <c r="Q304" s="101">
        <f>SUM(Q305:Q305)</f>
        <v>0</v>
      </c>
      <c r="R304" s="101"/>
      <c r="S304" s="101"/>
      <c r="T304" s="487"/>
      <c r="U304" s="101"/>
      <c r="V304" s="101">
        <f>SUM(V305:V305)</f>
        <v>0</v>
      </c>
      <c r="W304" s="101"/>
      <c r="X304" s="101"/>
      <c r="Y304" s="487"/>
      <c r="Z304" s="101"/>
      <c r="AA304" s="101">
        <f>SUM(AA305:AA305)</f>
        <v>0</v>
      </c>
      <c r="AB304" s="101"/>
      <c r="AC304" s="101"/>
      <c r="AD304" s="487"/>
      <c r="AE304" s="101"/>
      <c r="AF304" s="101">
        <f>SUM(AF305:AF305)</f>
        <v>0</v>
      </c>
      <c r="AG304" s="101"/>
      <c r="AH304" s="101"/>
      <c r="AI304" s="487"/>
      <c r="AJ304" s="101"/>
      <c r="AK304" s="101">
        <f>SUM(AK305:AK305)</f>
        <v>0</v>
      </c>
      <c r="AL304" s="101"/>
      <c r="AM304" s="101"/>
      <c r="AN304" s="487"/>
      <c r="AO304" s="101"/>
      <c r="AP304" s="101">
        <f>SUM(AP305:AP305)</f>
        <v>0</v>
      </c>
      <c r="AQ304" s="101"/>
      <c r="AR304" s="101"/>
      <c r="AS304" s="487"/>
      <c r="AT304" s="101"/>
      <c r="AU304" s="101">
        <f>SUM(AU305:AU305)</f>
        <v>0</v>
      </c>
      <c r="AV304" s="101"/>
      <c r="AW304" s="101"/>
      <c r="AX304" s="487"/>
      <c r="AY304" s="101"/>
      <c r="AZ304" s="101">
        <f>SUM(AZ305:AZ305)</f>
        <v>0</v>
      </c>
      <c r="BA304" s="101"/>
      <c r="BB304" s="101"/>
      <c r="BC304" s="487"/>
      <c r="BD304" s="101"/>
      <c r="BE304" s="101">
        <f>SUM(BE305:BE305)</f>
        <v>0</v>
      </c>
      <c r="BF304" s="101"/>
      <c r="BG304" s="101"/>
      <c r="BH304" s="487"/>
      <c r="BI304" s="101"/>
      <c r="BJ304" s="101">
        <f>SUM(BJ305:BJ305)</f>
        <v>53426</v>
      </c>
      <c r="BK304" s="101"/>
      <c r="BL304" s="101"/>
      <c r="BM304" s="487"/>
      <c r="BN304" s="101"/>
      <c r="BO304" s="101">
        <f>SUM(BO305:BO305)</f>
        <v>119111</v>
      </c>
      <c r="BP304" s="101"/>
      <c r="BQ304" s="101"/>
      <c r="BR304" s="487"/>
      <c r="BS304" s="101"/>
      <c r="BT304" s="101">
        <f>SUM(BT305:BT305)</f>
        <v>172537</v>
      </c>
      <c r="BU304" s="101"/>
      <c r="BV304" s="101"/>
      <c r="BW304" s="398"/>
      <c r="BZ304" s="411"/>
      <c r="CA304" s="411"/>
    </row>
    <row r="305" spans="1:79" ht="12.75" customHeight="1" x14ac:dyDescent="0.3">
      <c r="A305" s="388"/>
      <c r="B305" s="388"/>
      <c r="D305" s="398" t="s">
        <v>373</v>
      </c>
      <c r="F305" s="490"/>
      <c r="G305" s="491">
        <v>0</v>
      </c>
      <c r="H305" s="492"/>
      <c r="I305" s="101"/>
      <c r="J305" s="487"/>
      <c r="K305" s="493"/>
      <c r="L305" s="491">
        <v>0</v>
      </c>
      <c r="M305" s="492"/>
      <c r="N305" s="101"/>
      <c r="O305" s="487"/>
      <c r="P305" s="493"/>
      <c r="Q305" s="491">
        <v>0</v>
      </c>
      <c r="R305" s="492"/>
      <c r="S305" s="101"/>
      <c r="T305" s="487"/>
      <c r="U305" s="493"/>
      <c r="V305" s="491">
        <v>0</v>
      </c>
      <c r="W305" s="492"/>
      <c r="X305" s="101"/>
      <c r="Y305" s="487"/>
      <c r="Z305" s="493"/>
      <c r="AA305" s="491">
        <v>0</v>
      </c>
      <c r="AB305" s="492"/>
      <c r="AC305" s="101"/>
      <c r="AD305" s="487"/>
      <c r="AE305" s="493"/>
      <c r="AF305" s="491">
        <v>0</v>
      </c>
      <c r="AG305" s="492"/>
      <c r="AH305" s="101"/>
      <c r="AI305" s="487"/>
      <c r="AJ305" s="493"/>
      <c r="AK305" s="491">
        <v>0</v>
      </c>
      <c r="AL305" s="492"/>
      <c r="AM305" s="101"/>
      <c r="AN305" s="487"/>
      <c r="AO305" s="493"/>
      <c r="AP305" s="491">
        <v>0</v>
      </c>
      <c r="AQ305" s="492"/>
      <c r="AR305" s="101"/>
      <c r="AS305" s="487"/>
      <c r="AT305" s="493"/>
      <c r="AU305" s="491">
        <v>0</v>
      </c>
      <c r="AV305" s="492"/>
      <c r="AW305" s="101"/>
      <c r="AX305" s="487"/>
      <c r="AY305" s="493"/>
      <c r="AZ305" s="491">
        <v>0</v>
      </c>
      <c r="BA305" s="492"/>
      <c r="BB305" s="101"/>
      <c r="BC305" s="487"/>
      <c r="BD305" s="493"/>
      <c r="BE305" s="491">
        <v>0</v>
      </c>
      <c r="BF305" s="492"/>
      <c r="BG305" s="101"/>
      <c r="BH305" s="487"/>
      <c r="BI305" s="493"/>
      <c r="BJ305" s="491">
        <v>53426</v>
      </c>
      <c r="BK305" s="492"/>
      <c r="BL305" s="101"/>
      <c r="BM305" s="487"/>
      <c r="BN305" s="493"/>
      <c r="BO305" s="491">
        <v>119111</v>
      </c>
      <c r="BP305" s="492"/>
      <c r="BQ305" s="101"/>
      <c r="BR305" s="487"/>
      <c r="BS305" s="493"/>
      <c r="BT305" s="491">
        <f>SUM(L305:BO305)</f>
        <v>172537</v>
      </c>
      <c r="BU305" s="492"/>
      <c r="BV305" s="101"/>
      <c r="BW305" s="398"/>
      <c r="BZ305" s="411"/>
      <c r="CA305" s="411"/>
    </row>
    <row r="306" spans="1:79" ht="12.75" customHeight="1" x14ac:dyDescent="0.3">
      <c r="A306" s="388"/>
      <c r="B306" s="388"/>
      <c r="D306" s="398"/>
      <c r="F306" s="388"/>
      <c r="G306" s="101"/>
      <c r="H306" s="101"/>
      <c r="I306" s="101"/>
      <c r="J306" s="487"/>
      <c r="K306" s="101"/>
      <c r="L306" s="101"/>
      <c r="M306" s="101"/>
      <c r="N306" s="101"/>
      <c r="O306" s="487"/>
      <c r="P306" s="101"/>
      <c r="Q306" s="101"/>
      <c r="R306" s="101"/>
      <c r="S306" s="101"/>
      <c r="T306" s="487"/>
      <c r="U306" s="101"/>
      <c r="V306" s="101"/>
      <c r="W306" s="101"/>
      <c r="X306" s="101"/>
      <c r="Y306" s="487"/>
      <c r="Z306" s="101"/>
      <c r="AA306" s="101"/>
      <c r="AB306" s="101"/>
      <c r="AC306" s="101"/>
      <c r="AD306" s="487"/>
      <c r="AE306" s="101"/>
      <c r="AF306" s="101"/>
      <c r="AG306" s="101"/>
      <c r="AH306" s="101"/>
      <c r="AI306" s="487"/>
      <c r="AJ306" s="101"/>
      <c r="AK306" s="101"/>
      <c r="AL306" s="101"/>
      <c r="AM306" s="101"/>
      <c r="AN306" s="487"/>
      <c r="AO306" s="101"/>
      <c r="AP306" s="101"/>
      <c r="AQ306" s="101"/>
      <c r="AR306" s="101"/>
      <c r="AS306" s="487"/>
      <c r="AT306" s="101"/>
      <c r="AU306" s="101"/>
      <c r="AV306" s="101"/>
      <c r="AW306" s="101"/>
      <c r="AX306" s="487"/>
      <c r="AY306" s="101"/>
      <c r="AZ306" s="101"/>
      <c r="BA306" s="101"/>
      <c r="BB306" s="101"/>
      <c r="BC306" s="487"/>
      <c r="BD306" s="101"/>
      <c r="BE306" s="101"/>
      <c r="BF306" s="101"/>
      <c r="BG306" s="101"/>
      <c r="BH306" s="487"/>
      <c r="BI306" s="101"/>
      <c r="BJ306" s="101"/>
      <c r="BK306" s="101"/>
      <c r="BL306" s="101"/>
      <c r="BM306" s="487"/>
      <c r="BN306" s="101"/>
      <c r="BO306" s="101"/>
      <c r="BP306" s="101"/>
      <c r="BQ306" s="101"/>
      <c r="BR306" s="487"/>
      <c r="BS306" s="101"/>
      <c r="BT306" s="101"/>
      <c r="BU306" s="101"/>
      <c r="BV306" s="101"/>
      <c r="BW306" s="398"/>
      <c r="BZ306" s="411"/>
      <c r="CA306" s="411"/>
    </row>
    <row r="307" spans="1:79" x14ac:dyDescent="0.3">
      <c r="A307" s="388"/>
      <c r="B307" s="388"/>
      <c r="D307" s="398" t="s">
        <v>435</v>
      </c>
      <c r="F307" s="388"/>
      <c r="G307" s="101">
        <f>SUM(G308:G308)</f>
        <v>0</v>
      </c>
      <c r="H307" s="101"/>
      <c r="I307" s="101"/>
      <c r="J307" s="487"/>
      <c r="K307" s="388"/>
      <c r="L307" s="101">
        <f>SUM(L308)</f>
        <v>0</v>
      </c>
      <c r="M307" s="101"/>
      <c r="N307" s="101"/>
      <c r="O307" s="487"/>
      <c r="P307" s="388"/>
      <c r="Q307" s="101">
        <f>SUM(Q308)</f>
        <v>0</v>
      </c>
      <c r="R307" s="101"/>
      <c r="S307" s="101"/>
      <c r="T307" s="487"/>
      <c r="U307" s="388"/>
      <c r="V307" s="101">
        <f>SUM(V308)</f>
        <v>0</v>
      </c>
      <c r="W307" s="101"/>
      <c r="X307" s="101"/>
      <c r="Y307" s="487"/>
      <c r="Z307" s="388"/>
      <c r="AA307" s="101">
        <f>SUM(AA308)</f>
        <v>0</v>
      </c>
      <c r="AB307" s="101"/>
      <c r="AC307" s="101"/>
      <c r="AD307" s="487"/>
      <c r="AE307" s="388"/>
      <c r="AF307" s="101">
        <f>SUM(AF308)</f>
        <v>0</v>
      </c>
      <c r="AG307" s="101"/>
      <c r="AH307" s="101"/>
      <c r="AI307" s="487"/>
      <c r="AJ307" s="388"/>
      <c r="AK307" s="101">
        <f>SUM(AK308)</f>
        <v>0</v>
      </c>
      <c r="AL307" s="101"/>
      <c r="AM307" s="101"/>
      <c r="AN307" s="487"/>
      <c r="AO307" s="388"/>
      <c r="AP307" s="101">
        <f>SUM(AP308)</f>
        <v>0</v>
      </c>
      <c r="AQ307" s="101"/>
      <c r="AR307" s="101"/>
      <c r="AS307" s="487"/>
      <c r="AT307" s="388"/>
      <c r="AU307" s="101">
        <f>SUM(AU308)</f>
        <v>0</v>
      </c>
      <c r="AV307" s="101"/>
      <c r="AW307" s="101"/>
      <c r="AX307" s="487"/>
      <c r="AY307" s="388"/>
      <c r="AZ307" s="101">
        <f>SUM(AZ308)</f>
        <v>0</v>
      </c>
      <c r="BA307" s="101"/>
      <c r="BB307" s="101"/>
      <c r="BC307" s="487"/>
      <c r="BD307" s="388"/>
      <c r="BE307" s="101">
        <f>SUM(BE308)</f>
        <v>0</v>
      </c>
      <c r="BF307" s="101"/>
      <c r="BG307" s="101"/>
      <c r="BH307" s="487"/>
      <c r="BI307" s="388"/>
      <c r="BJ307" s="101">
        <f>SUM(BJ308)</f>
        <v>0</v>
      </c>
      <c r="BK307" s="101"/>
      <c r="BL307" s="101"/>
      <c r="BM307" s="487"/>
      <c r="BN307" s="388"/>
      <c r="BO307" s="101">
        <f>SUM(BO308)</f>
        <v>1018643</v>
      </c>
      <c r="BP307" s="101"/>
      <c r="BQ307" s="101"/>
      <c r="BR307" s="487"/>
      <c r="BS307" s="388"/>
      <c r="BT307" s="101">
        <f>SUM(BT308:BT308)</f>
        <v>1018643</v>
      </c>
      <c r="BU307" s="101"/>
      <c r="BV307" s="101"/>
      <c r="BW307" s="398"/>
      <c r="BZ307" s="411"/>
      <c r="CA307" s="411"/>
    </row>
    <row r="308" spans="1:79" x14ac:dyDescent="0.3">
      <c r="A308" s="388"/>
      <c r="B308" s="388"/>
      <c r="D308" s="398" t="s">
        <v>373</v>
      </c>
      <c r="F308" s="490"/>
      <c r="G308" s="491">
        <v>0</v>
      </c>
      <c r="H308" s="492"/>
      <c r="I308" s="101"/>
      <c r="J308" s="487"/>
      <c r="K308" s="490"/>
      <c r="L308" s="491">
        <v>0</v>
      </c>
      <c r="M308" s="492"/>
      <c r="N308" s="101"/>
      <c r="O308" s="487"/>
      <c r="P308" s="490"/>
      <c r="Q308" s="491">
        <v>0</v>
      </c>
      <c r="R308" s="492"/>
      <c r="S308" s="101"/>
      <c r="T308" s="487"/>
      <c r="U308" s="490"/>
      <c r="V308" s="491">
        <v>0</v>
      </c>
      <c r="W308" s="492"/>
      <c r="X308" s="101"/>
      <c r="Y308" s="487"/>
      <c r="Z308" s="490"/>
      <c r="AA308" s="491">
        <v>0</v>
      </c>
      <c r="AB308" s="492"/>
      <c r="AC308" s="101"/>
      <c r="AD308" s="487"/>
      <c r="AE308" s="490"/>
      <c r="AF308" s="491">
        <v>0</v>
      </c>
      <c r="AG308" s="492"/>
      <c r="AH308" s="101"/>
      <c r="AI308" s="487"/>
      <c r="AJ308" s="490"/>
      <c r="AK308" s="491">
        <v>0</v>
      </c>
      <c r="AL308" s="492"/>
      <c r="AM308" s="101"/>
      <c r="AN308" s="487"/>
      <c r="AO308" s="490"/>
      <c r="AP308" s="491">
        <v>0</v>
      </c>
      <c r="AQ308" s="492"/>
      <c r="AR308" s="101"/>
      <c r="AS308" s="487"/>
      <c r="AT308" s="490"/>
      <c r="AU308" s="491">
        <v>0</v>
      </c>
      <c r="AV308" s="492"/>
      <c r="AW308" s="101"/>
      <c r="AX308" s="487"/>
      <c r="AY308" s="490"/>
      <c r="AZ308" s="491">
        <v>0</v>
      </c>
      <c r="BA308" s="492"/>
      <c r="BB308" s="101"/>
      <c r="BC308" s="487"/>
      <c r="BD308" s="490"/>
      <c r="BE308" s="491">
        <v>0</v>
      </c>
      <c r="BF308" s="492"/>
      <c r="BG308" s="101"/>
      <c r="BH308" s="487"/>
      <c r="BI308" s="490"/>
      <c r="BJ308" s="491">
        <v>0</v>
      </c>
      <c r="BK308" s="492"/>
      <c r="BL308" s="101"/>
      <c r="BM308" s="487"/>
      <c r="BN308" s="490"/>
      <c r="BO308" s="491">
        <v>1018643</v>
      </c>
      <c r="BP308" s="492"/>
      <c r="BQ308" s="101"/>
      <c r="BR308" s="487"/>
      <c r="BS308" s="490"/>
      <c r="BT308" s="491">
        <f>SUM(L308:BO308)</f>
        <v>1018643</v>
      </c>
      <c r="BU308" s="492"/>
      <c r="BV308" s="101"/>
      <c r="BW308" s="398"/>
      <c r="BZ308" s="411"/>
      <c r="CA308" s="411"/>
    </row>
    <row r="309" spans="1:79" x14ac:dyDescent="0.3">
      <c r="A309" s="388"/>
      <c r="B309" s="388"/>
      <c r="D309" s="398"/>
      <c r="F309" s="388"/>
      <c r="G309" s="101"/>
      <c r="H309" s="101"/>
      <c r="I309" s="101"/>
      <c r="J309" s="487"/>
      <c r="K309" s="101"/>
      <c r="L309" s="101"/>
      <c r="M309" s="101"/>
      <c r="N309" s="101"/>
      <c r="O309" s="487"/>
      <c r="P309" s="101"/>
      <c r="Q309" s="101"/>
      <c r="R309" s="101"/>
      <c r="S309" s="101"/>
      <c r="T309" s="487"/>
      <c r="U309" s="101"/>
      <c r="V309" s="101"/>
      <c r="W309" s="101"/>
      <c r="X309" s="101"/>
      <c r="Y309" s="487"/>
      <c r="Z309" s="101"/>
      <c r="AA309" s="101"/>
      <c r="AB309" s="101"/>
      <c r="AC309" s="101"/>
      <c r="AD309" s="487"/>
      <c r="AE309" s="101"/>
      <c r="AF309" s="101"/>
      <c r="AG309" s="101"/>
      <c r="AH309" s="101"/>
      <c r="AI309" s="487"/>
      <c r="AJ309" s="101"/>
      <c r="AK309" s="101"/>
      <c r="AL309" s="101"/>
      <c r="AM309" s="101"/>
      <c r="AN309" s="487"/>
      <c r="AO309" s="101"/>
      <c r="AP309" s="101"/>
      <c r="AQ309" s="101"/>
      <c r="AR309" s="101"/>
      <c r="AS309" s="487"/>
      <c r="AT309" s="101"/>
      <c r="AU309" s="101"/>
      <c r="AV309" s="101"/>
      <c r="AW309" s="101"/>
      <c r="AX309" s="487"/>
      <c r="AY309" s="101"/>
      <c r="AZ309" s="101"/>
      <c r="BA309" s="101"/>
      <c r="BB309" s="101"/>
      <c r="BC309" s="487"/>
      <c r="BD309" s="101"/>
      <c r="BE309" s="101"/>
      <c r="BF309" s="101"/>
      <c r="BG309" s="101"/>
      <c r="BH309" s="487"/>
      <c r="BI309" s="101"/>
      <c r="BJ309" s="101"/>
      <c r="BK309" s="101"/>
      <c r="BL309" s="101"/>
      <c r="BM309" s="487"/>
      <c r="BN309" s="101"/>
      <c r="BO309" s="101"/>
      <c r="BP309" s="101"/>
      <c r="BQ309" s="101"/>
      <c r="BR309" s="487"/>
      <c r="BS309" s="101"/>
      <c r="BT309" s="101"/>
      <c r="BU309" s="101"/>
      <c r="BV309" s="101"/>
      <c r="BW309" s="398"/>
      <c r="BZ309" s="411"/>
      <c r="CA309" s="411"/>
    </row>
    <row r="310" spans="1:79" ht="12.75" customHeight="1" x14ac:dyDescent="0.3">
      <c r="A310" s="388"/>
      <c r="B310" s="388"/>
      <c r="D310" s="398" t="s">
        <v>436</v>
      </c>
      <c r="F310" s="388"/>
      <c r="G310" s="101">
        <f>SUM(G311:G311)</f>
        <v>0</v>
      </c>
      <c r="H310" s="101"/>
      <c r="I310" s="101"/>
      <c r="J310" s="487"/>
      <c r="K310" s="101"/>
      <c r="L310" s="101">
        <f>SUM(L311:L311)</f>
        <v>0</v>
      </c>
      <c r="M310" s="101"/>
      <c r="N310" s="101"/>
      <c r="O310" s="487"/>
      <c r="P310" s="101"/>
      <c r="Q310" s="101">
        <f>SUM(Q311:Q311)</f>
        <v>0</v>
      </c>
      <c r="R310" s="101"/>
      <c r="S310" s="101"/>
      <c r="T310" s="487"/>
      <c r="U310" s="101"/>
      <c r="V310" s="101">
        <f>SUM(V311:V311)</f>
        <v>0</v>
      </c>
      <c r="W310" s="101"/>
      <c r="X310" s="101"/>
      <c r="Y310" s="487"/>
      <c r="Z310" s="101"/>
      <c r="AA310" s="101">
        <f>SUM(AA311:AA311)</f>
        <v>0</v>
      </c>
      <c r="AB310" s="101"/>
      <c r="AC310" s="101"/>
      <c r="AD310" s="487"/>
      <c r="AE310" s="101"/>
      <c r="AF310" s="101">
        <f>SUM(AF311:AF311)</f>
        <v>0</v>
      </c>
      <c r="AG310" s="101"/>
      <c r="AH310" s="101"/>
      <c r="AI310" s="487"/>
      <c r="AJ310" s="101"/>
      <c r="AK310" s="101">
        <f>SUM(AK311:AK311)</f>
        <v>0</v>
      </c>
      <c r="AL310" s="101"/>
      <c r="AM310" s="101"/>
      <c r="AN310" s="487"/>
      <c r="AO310" s="101"/>
      <c r="AP310" s="101">
        <f>SUM(AP311:AP311)</f>
        <v>0</v>
      </c>
      <c r="AQ310" s="101"/>
      <c r="AR310" s="101"/>
      <c r="AS310" s="487"/>
      <c r="AT310" s="101"/>
      <c r="AU310" s="101">
        <f>SUM(AU311:AU311)</f>
        <v>0</v>
      </c>
      <c r="AV310" s="101"/>
      <c r="AW310" s="101"/>
      <c r="AX310" s="487"/>
      <c r="AY310" s="101"/>
      <c r="AZ310" s="101">
        <f>SUM(AZ311:AZ311)</f>
        <v>0</v>
      </c>
      <c r="BA310" s="101"/>
      <c r="BB310" s="101"/>
      <c r="BC310" s="487"/>
      <c r="BD310" s="101"/>
      <c r="BE310" s="101">
        <f>SUM(BE311:BE311)</f>
        <v>0</v>
      </c>
      <c r="BF310" s="101"/>
      <c r="BG310" s="101"/>
      <c r="BH310" s="487"/>
      <c r="BI310" s="101"/>
      <c r="BJ310" s="101">
        <f>SUM(BJ311:BJ311)</f>
        <v>0</v>
      </c>
      <c r="BK310" s="101"/>
      <c r="BL310" s="101"/>
      <c r="BM310" s="487"/>
      <c r="BN310" s="101"/>
      <c r="BO310" s="101">
        <f>SUM(BO311:BO311)</f>
        <v>0</v>
      </c>
      <c r="BP310" s="101"/>
      <c r="BQ310" s="101"/>
      <c r="BR310" s="487"/>
      <c r="BS310" s="101"/>
      <c r="BT310" s="101">
        <f>SUM(BT311:BT311)</f>
        <v>0</v>
      </c>
      <c r="BU310" s="101"/>
      <c r="BV310" s="101"/>
      <c r="BW310" s="398"/>
      <c r="BZ310" s="411"/>
      <c r="CA310" s="411"/>
    </row>
    <row r="311" spans="1:79" ht="12.75" customHeight="1" x14ac:dyDescent="0.3">
      <c r="A311" s="388"/>
      <c r="B311" s="388"/>
      <c r="D311" s="398" t="s">
        <v>373</v>
      </c>
      <c r="F311" s="490"/>
      <c r="G311" s="491">
        <v>0</v>
      </c>
      <c r="H311" s="492"/>
      <c r="I311" s="101"/>
      <c r="J311" s="487"/>
      <c r="K311" s="493"/>
      <c r="L311" s="491">
        <v>0</v>
      </c>
      <c r="M311" s="492"/>
      <c r="N311" s="101"/>
      <c r="O311" s="487"/>
      <c r="P311" s="493"/>
      <c r="Q311" s="491">
        <v>0</v>
      </c>
      <c r="R311" s="492"/>
      <c r="S311" s="101"/>
      <c r="T311" s="487"/>
      <c r="U311" s="493"/>
      <c r="V311" s="491">
        <v>0</v>
      </c>
      <c r="W311" s="492"/>
      <c r="X311" s="101"/>
      <c r="Y311" s="487"/>
      <c r="Z311" s="493"/>
      <c r="AA311" s="491">
        <v>0</v>
      </c>
      <c r="AB311" s="492"/>
      <c r="AC311" s="101"/>
      <c r="AD311" s="487"/>
      <c r="AE311" s="493"/>
      <c r="AF311" s="491">
        <v>0</v>
      </c>
      <c r="AG311" s="492"/>
      <c r="AH311" s="101"/>
      <c r="AI311" s="487"/>
      <c r="AJ311" s="493"/>
      <c r="AK311" s="491">
        <v>0</v>
      </c>
      <c r="AL311" s="492"/>
      <c r="AM311" s="101"/>
      <c r="AN311" s="487"/>
      <c r="AO311" s="493"/>
      <c r="AP311" s="491">
        <v>0</v>
      </c>
      <c r="AQ311" s="492"/>
      <c r="AR311" s="101"/>
      <c r="AS311" s="487"/>
      <c r="AT311" s="493"/>
      <c r="AU311" s="491">
        <v>0</v>
      </c>
      <c r="AV311" s="492"/>
      <c r="AW311" s="101"/>
      <c r="AX311" s="487"/>
      <c r="AY311" s="493"/>
      <c r="AZ311" s="491">
        <v>0</v>
      </c>
      <c r="BA311" s="492"/>
      <c r="BB311" s="101"/>
      <c r="BC311" s="487"/>
      <c r="BD311" s="493"/>
      <c r="BE311" s="491">
        <v>0</v>
      </c>
      <c r="BF311" s="492"/>
      <c r="BG311" s="101"/>
      <c r="BH311" s="487"/>
      <c r="BI311" s="493"/>
      <c r="BJ311" s="491">
        <v>0</v>
      </c>
      <c r="BK311" s="492"/>
      <c r="BL311" s="101"/>
      <c r="BM311" s="487"/>
      <c r="BN311" s="493"/>
      <c r="BO311" s="491">
        <v>0</v>
      </c>
      <c r="BP311" s="492"/>
      <c r="BQ311" s="101"/>
      <c r="BR311" s="487"/>
      <c r="BS311" s="493"/>
      <c r="BT311" s="491">
        <f>SUM(L311:BO311)</f>
        <v>0</v>
      </c>
      <c r="BU311" s="492"/>
      <c r="BV311" s="101"/>
      <c r="BW311" s="398"/>
      <c r="BZ311" s="411"/>
      <c r="CA311" s="411"/>
    </row>
    <row r="312" spans="1:79" ht="12.75" hidden="1" customHeight="1" x14ac:dyDescent="0.2">
      <c r="A312" s="388"/>
      <c r="B312" s="388"/>
      <c r="D312" s="398"/>
      <c r="F312" s="388"/>
      <c r="G312" s="101"/>
      <c r="H312" s="101"/>
      <c r="I312" s="101"/>
      <c r="J312" s="487"/>
      <c r="K312" s="101"/>
      <c r="L312" s="101"/>
      <c r="M312" s="101"/>
      <c r="N312" s="101"/>
      <c r="O312" s="487"/>
      <c r="P312" s="101"/>
      <c r="Q312" s="101"/>
      <c r="R312" s="101"/>
      <c r="S312" s="101"/>
      <c r="T312" s="487"/>
      <c r="U312" s="101"/>
      <c r="V312" s="101"/>
      <c r="W312" s="101"/>
      <c r="X312" s="101"/>
      <c r="Y312" s="487"/>
      <c r="Z312" s="101"/>
      <c r="AA312" s="101"/>
      <c r="AB312" s="101"/>
      <c r="AC312" s="101"/>
      <c r="AD312" s="487"/>
      <c r="AE312" s="101"/>
      <c r="AF312" s="101"/>
      <c r="AG312" s="101"/>
      <c r="AH312" s="101"/>
      <c r="AI312" s="487"/>
      <c r="AJ312" s="101"/>
      <c r="AK312" s="101"/>
      <c r="AL312" s="101"/>
      <c r="AM312" s="101"/>
      <c r="AN312" s="487"/>
      <c r="AO312" s="101"/>
      <c r="AP312" s="101"/>
      <c r="AQ312" s="101"/>
      <c r="AR312" s="101"/>
      <c r="AS312" s="487"/>
      <c r="AT312" s="101"/>
      <c r="AU312" s="101"/>
      <c r="AV312" s="101"/>
      <c r="AW312" s="101"/>
      <c r="AX312" s="487"/>
      <c r="AY312" s="101"/>
      <c r="AZ312" s="101"/>
      <c r="BA312" s="101"/>
      <c r="BB312" s="101"/>
      <c r="BC312" s="487"/>
      <c r="BD312" s="101"/>
      <c r="BE312" s="101"/>
      <c r="BF312" s="101"/>
      <c r="BG312" s="101"/>
      <c r="BH312" s="487"/>
      <c r="BI312" s="101"/>
      <c r="BJ312" s="101"/>
      <c r="BK312" s="101"/>
      <c r="BL312" s="101"/>
      <c r="BM312" s="487"/>
      <c r="BN312" s="101"/>
      <c r="BO312" s="101"/>
      <c r="BP312" s="101"/>
      <c r="BQ312" s="101"/>
      <c r="BR312" s="487"/>
      <c r="BS312" s="101"/>
      <c r="BT312" s="101"/>
      <c r="BU312" s="101"/>
      <c r="BV312" s="101"/>
      <c r="BW312" s="398"/>
      <c r="BZ312" s="411"/>
      <c r="CA312" s="411"/>
    </row>
    <row r="313" spans="1:79" s="411" customFormat="1" ht="12.75" hidden="1" customHeight="1" x14ac:dyDescent="0.2">
      <c r="A313" s="389"/>
      <c r="B313" s="389"/>
      <c r="D313" s="233" t="s">
        <v>367</v>
      </c>
      <c r="E313" s="514"/>
      <c r="F313" s="234"/>
      <c r="G313" s="101">
        <f>SUM(G314)</f>
        <v>0</v>
      </c>
      <c r="H313" s="101"/>
      <c r="I313" s="101"/>
      <c r="J313" s="487"/>
      <c r="K313" s="101"/>
      <c r="L313" s="101">
        <f>SUM(L314:L314)</f>
        <v>0</v>
      </c>
      <c r="M313" s="101"/>
      <c r="N313" s="101"/>
      <c r="O313" s="487"/>
      <c r="P313" s="101"/>
      <c r="Q313" s="101">
        <f>SUM(Q314:Q314)</f>
        <v>0</v>
      </c>
      <c r="R313" s="101"/>
      <c r="S313" s="101"/>
      <c r="T313" s="487"/>
      <c r="U313" s="101"/>
      <c r="V313" s="101">
        <f>SUM(V314:V314)</f>
        <v>0</v>
      </c>
      <c r="W313" s="101"/>
      <c r="X313" s="101"/>
      <c r="Y313" s="487"/>
      <c r="Z313" s="101"/>
      <c r="AA313" s="101">
        <f>SUM(AA314:AA314)</f>
        <v>0</v>
      </c>
      <c r="AB313" s="101"/>
      <c r="AC313" s="101"/>
      <c r="AD313" s="487"/>
      <c r="AE313" s="101"/>
      <c r="AF313" s="101">
        <f>SUM(AF314:AF314)</f>
        <v>0</v>
      </c>
      <c r="AG313" s="101"/>
      <c r="AH313" s="101"/>
      <c r="AI313" s="487"/>
      <c r="AJ313" s="101"/>
      <c r="AK313" s="101">
        <f>SUM(AK314:AK314)</f>
        <v>0</v>
      </c>
      <c r="AL313" s="101"/>
      <c r="AM313" s="101"/>
      <c r="AN313" s="487"/>
      <c r="AO313" s="101"/>
      <c r="AP313" s="101">
        <f>SUM(AP314:AP314)</f>
        <v>0</v>
      </c>
      <c r="AQ313" s="101"/>
      <c r="AR313" s="101"/>
      <c r="AS313" s="487"/>
      <c r="AT313" s="101"/>
      <c r="AU313" s="101">
        <f>SUM(AU314:AU314)</f>
        <v>0</v>
      </c>
      <c r="AV313" s="101"/>
      <c r="AW313" s="101"/>
      <c r="AX313" s="487"/>
      <c r="AY313" s="101"/>
      <c r="AZ313" s="101">
        <f>SUM(AZ314:AZ314)</f>
        <v>0</v>
      </c>
      <c r="BA313" s="101"/>
      <c r="BB313" s="101"/>
      <c r="BC313" s="487"/>
      <c r="BD313" s="101"/>
      <c r="BE313" s="101">
        <f>SUM(BE314:BE314)</f>
        <v>0</v>
      </c>
      <c r="BF313" s="101"/>
      <c r="BG313" s="101"/>
      <c r="BH313" s="487"/>
      <c r="BI313" s="101"/>
      <c r="BJ313" s="101">
        <f>SUM(BJ314:BJ314)</f>
        <v>0</v>
      </c>
      <c r="BK313" s="101"/>
      <c r="BL313" s="101"/>
      <c r="BM313" s="487"/>
      <c r="BN313" s="101"/>
      <c r="BO313" s="101">
        <f>SUM(BO314:BO314)</f>
        <v>0</v>
      </c>
      <c r="BP313" s="101"/>
      <c r="BQ313" s="101"/>
      <c r="BR313" s="487"/>
      <c r="BS313" s="101"/>
      <c r="BT313" s="101">
        <f>SUM(BT314:BT314)</f>
        <v>0</v>
      </c>
      <c r="BU313" s="101"/>
      <c r="BV313" s="101"/>
      <c r="BW313" s="405"/>
      <c r="BY313" s="38"/>
    </row>
    <row r="314" spans="1:79" ht="12.75" hidden="1" customHeight="1" x14ac:dyDescent="0.2">
      <c r="A314" s="388"/>
      <c r="B314" s="388"/>
      <c r="D314" s="398" t="s">
        <v>373</v>
      </c>
      <c r="E314" s="509"/>
      <c r="F314" s="515"/>
      <c r="G314" s="491">
        <v>0</v>
      </c>
      <c r="H314" s="492"/>
      <c r="I314" s="101"/>
      <c r="J314" s="487"/>
      <c r="K314" s="493"/>
      <c r="L314" s="491">
        <f>L318</f>
        <v>0</v>
      </c>
      <c r="M314" s="492"/>
      <c r="N314" s="101"/>
      <c r="O314" s="487"/>
      <c r="P314" s="493"/>
      <c r="Q314" s="491">
        <f>Q318</f>
        <v>0</v>
      </c>
      <c r="R314" s="492"/>
      <c r="S314" s="101"/>
      <c r="T314" s="487"/>
      <c r="U314" s="493"/>
      <c r="V314" s="491">
        <f>V318</f>
        <v>0</v>
      </c>
      <c r="W314" s="492"/>
      <c r="X314" s="101"/>
      <c r="Y314" s="487"/>
      <c r="Z314" s="493"/>
      <c r="AA314" s="491">
        <f>AA318</f>
        <v>0</v>
      </c>
      <c r="AB314" s="492"/>
      <c r="AC314" s="101"/>
      <c r="AD314" s="487"/>
      <c r="AE314" s="493"/>
      <c r="AF314" s="491">
        <v>0</v>
      </c>
      <c r="AG314" s="492"/>
      <c r="AH314" s="101"/>
      <c r="AI314" s="487"/>
      <c r="AJ314" s="493"/>
      <c r="AK314" s="491">
        <f>AK318</f>
        <v>0</v>
      </c>
      <c r="AL314" s="492"/>
      <c r="AM314" s="101"/>
      <c r="AN314" s="487"/>
      <c r="AO314" s="493"/>
      <c r="AP314" s="491">
        <f>AP318</f>
        <v>0</v>
      </c>
      <c r="AQ314" s="492"/>
      <c r="AR314" s="101"/>
      <c r="AS314" s="487"/>
      <c r="AT314" s="493"/>
      <c r="AU314" s="491">
        <f>AU318</f>
        <v>0</v>
      </c>
      <c r="AV314" s="492"/>
      <c r="AW314" s="101"/>
      <c r="AX314" s="487"/>
      <c r="AY314" s="493"/>
      <c r="AZ314" s="491">
        <f>AZ318</f>
        <v>0</v>
      </c>
      <c r="BA314" s="492"/>
      <c r="BB314" s="101"/>
      <c r="BC314" s="487"/>
      <c r="BD314" s="493"/>
      <c r="BE314" s="491">
        <f>BE318</f>
        <v>0</v>
      </c>
      <c r="BF314" s="492"/>
      <c r="BG314" s="101"/>
      <c r="BH314" s="487"/>
      <c r="BI314" s="493"/>
      <c r="BJ314" s="491">
        <f>BJ318</f>
        <v>0</v>
      </c>
      <c r="BK314" s="492"/>
      <c r="BL314" s="101"/>
      <c r="BM314" s="487"/>
      <c r="BN314" s="493"/>
      <c r="BO314" s="491">
        <f>BO318</f>
        <v>0</v>
      </c>
      <c r="BP314" s="492"/>
      <c r="BQ314" s="101"/>
      <c r="BR314" s="487"/>
      <c r="BS314" s="493"/>
      <c r="BT314" s="491">
        <f>SUM(L314:BO314)</f>
        <v>0</v>
      </c>
      <c r="BU314" s="492"/>
      <c r="BV314" s="101"/>
      <c r="BW314" s="398"/>
      <c r="BZ314" s="411"/>
      <c r="CA314" s="411"/>
    </row>
    <row r="315" spans="1:79" ht="12.75" hidden="1" customHeight="1" x14ac:dyDescent="0.2">
      <c r="A315" s="388"/>
      <c r="B315" s="388"/>
      <c r="D315" s="398"/>
      <c r="F315" s="388"/>
      <c r="G315" s="101"/>
      <c r="H315" s="101"/>
      <c r="I315" s="101"/>
      <c r="J315" s="487"/>
      <c r="K315" s="101"/>
      <c r="L315" s="388"/>
      <c r="M315" s="388"/>
      <c r="N315" s="388"/>
      <c r="O315" s="404"/>
      <c r="P315" s="388"/>
      <c r="Q315" s="388"/>
      <c r="R315" s="388"/>
      <c r="S315" s="388"/>
      <c r="T315" s="404"/>
      <c r="U315" s="388"/>
      <c r="V315" s="388"/>
      <c r="W315" s="388"/>
      <c r="X315" s="388"/>
      <c r="Y315" s="404"/>
      <c r="Z315" s="388"/>
      <c r="AA315" s="388"/>
      <c r="AB315" s="388"/>
      <c r="AC315" s="388"/>
      <c r="AD315" s="404"/>
      <c r="AE315" s="388"/>
      <c r="AF315" s="388"/>
      <c r="AG315" s="388"/>
      <c r="AH315" s="388"/>
      <c r="AI315" s="404"/>
      <c r="AJ315" s="388"/>
      <c r="AK315" s="388"/>
      <c r="AL315" s="388"/>
      <c r="AM315" s="388"/>
      <c r="AN315" s="404"/>
      <c r="AO315" s="388"/>
      <c r="AP315" s="388"/>
      <c r="AQ315" s="388"/>
      <c r="AR315" s="388"/>
      <c r="AS315" s="404"/>
      <c r="AT315" s="388"/>
      <c r="AU315" s="388"/>
      <c r="AV315" s="388"/>
      <c r="AW315" s="388"/>
      <c r="AX315" s="404"/>
      <c r="AY315" s="388"/>
      <c r="AZ315" s="388"/>
      <c r="BA315" s="388"/>
      <c r="BB315" s="388"/>
      <c r="BC315" s="404"/>
      <c r="BD315" s="388"/>
      <c r="BE315" s="388"/>
      <c r="BF315" s="388"/>
      <c r="BG315" s="388"/>
      <c r="BH315" s="404"/>
      <c r="BI315" s="388"/>
      <c r="BJ315" s="388"/>
      <c r="BK315" s="388"/>
      <c r="BL315" s="388"/>
      <c r="BM315" s="404"/>
      <c r="BN315" s="388"/>
      <c r="BO315" s="388"/>
      <c r="BP315" s="388"/>
      <c r="BQ315" s="388"/>
      <c r="BR315" s="404"/>
      <c r="BS315" s="388"/>
      <c r="BT315" s="388"/>
      <c r="BU315" s="388"/>
      <c r="BV315" s="388"/>
      <c r="BW315" s="398"/>
      <c r="BZ315" s="411"/>
      <c r="CA315" s="411"/>
    </row>
    <row r="316" spans="1:79" ht="12.75" hidden="1" customHeight="1" x14ac:dyDescent="0.2">
      <c r="A316" s="388"/>
      <c r="B316" s="388"/>
      <c r="D316" s="398"/>
      <c r="F316" s="388"/>
      <c r="G316" s="101"/>
      <c r="H316" s="101"/>
      <c r="I316" s="101"/>
      <c r="J316" s="487"/>
      <c r="K316" s="101"/>
      <c r="L316" s="101"/>
      <c r="M316" s="101"/>
      <c r="N316" s="101"/>
      <c r="O316" s="487"/>
      <c r="P316" s="101"/>
      <c r="Q316" s="101"/>
      <c r="R316" s="101"/>
      <c r="S316" s="101"/>
      <c r="T316" s="487"/>
      <c r="U316" s="101"/>
      <c r="V316" s="101"/>
      <c r="W316" s="101"/>
      <c r="X316" s="101"/>
      <c r="Y316" s="487"/>
      <c r="Z316" s="101"/>
      <c r="AA316" s="101"/>
      <c r="AB316" s="101"/>
      <c r="AC316" s="101"/>
      <c r="AD316" s="487"/>
      <c r="AE316" s="101"/>
      <c r="AF316" s="101"/>
      <c r="AG316" s="101"/>
      <c r="AH316" s="101"/>
      <c r="AI316" s="487"/>
      <c r="AJ316" s="101"/>
      <c r="AK316" s="101"/>
      <c r="AL316" s="101"/>
      <c r="AM316" s="101"/>
      <c r="AN316" s="487"/>
      <c r="AO316" s="101"/>
      <c r="AP316" s="101"/>
      <c r="AQ316" s="101"/>
      <c r="AR316" s="101"/>
      <c r="AS316" s="487"/>
      <c r="AT316" s="101"/>
      <c r="AU316" s="101"/>
      <c r="AV316" s="101"/>
      <c r="AW316" s="101"/>
      <c r="AX316" s="487"/>
      <c r="AY316" s="101"/>
      <c r="AZ316" s="101"/>
      <c r="BA316" s="101"/>
      <c r="BB316" s="101"/>
      <c r="BC316" s="487"/>
      <c r="BD316" s="101"/>
      <c r="BE316" s="101"/>
      <c r="BF316" s="101"/>
      <c r="BG316" s="101"/>
      <c r="BH316" s="487"/>
      <c r="BI316" s="101"/>
      <c r="BJ316" s="101"/>
      <c r="BK316" s="101"/>
      <c r="BL316" s="101"/>
      <c r="BM316" s="487"/>
      <c r="BN316" s="101"/>
      <c r="BO316" s="101"/>
      <c r="BP316" s="101"/>
      <c r="BQ316" s="101"/>
      <c r="BR316" s="487"/>
      <c r="BS316" s="101"/>
      <c r="BT316" s="101"/>
      <c r="BU316" s="101"/>
      <c r="BV316" s="101"/>
      <c r="BW316" s="398"/>
      <c r="BZ316" s="411"/>
      <c r="CA316" s="411"/>
    </row>
    <row r="317" spans="1:79" ht="12.75" hidden="1" customHeight="1" x14ac:dyDescent="0.2">
      <c r="A317" s="388"/>
      <c r="B317" s="388"/>
      <c r="D317" s="398" t="str">
        <f>[39]domredemp!D86</f>
        <v xml:space="preserve">  I2029 (1.875%  2029/03/31)</v>
      </c>
      <c r="F317" s="388"/>
      <c r="G317" s="101">
        <v>0</v>
      </c>
      <c r="H317" s="101"/>
      <c r="I317" s="101"/>
      <c r="J317" s="487"/>
      <c r="K317" s="101"/>
      <c r="L317" s="101">
        <f>SUM(L318:L318)</f>
        <v>0</v>
      </c>
      <c r="M317" s="101"/>
      <c r="N317" s="101"/>
      <c r="O317" s="487"/>
      <c r="P317" s="101"/>
      <c r="Q317" s="101">
        <f>SUM(Q318:Q318)</f>
        <v>0</v>
      </c>
      <c r="R317" s="101"/>
      <c r="S317" s="101"/>
      <c r="T317" s="487"/>
      <c r="U317" s="101"/>
      <c r="V317" s="101">
        <f>SUM(V318:V318)</f>
        <v>0</v>
      </c>
      <c r="W317" s="101"/>
      <c r="X317" s="101"/>
      <c r="Y317" s="487"/>
      <c r="Z317" s="101"/>
      <c r="AA317" s="101">
        <f>SUM(AA318:AA318)</f>
        <v>0</v>
      </c>
      <c r="AB317" s="101"/>
      <c r="AC317" s="101"/>
      <c r="AD317" s="487"/>
      <c r="AE317" s="101"/>
      <c r="AF317" s="101">
        <f>SUM(AF318:AF318)</f>
        <v>0</v>
      </c>
      <c r="AG317" s="101"/>
      <c r="AH317" s="101"/>
      <c r="AI317" s="487"/>
      <c r="AJ317" s="101"/>
      <c r="AK317" s="101">
        <f>SUM(AK318:AK318)</f>
        <v>0</v>
      </c>
      <c r="AL317" s="101"/>
      <c r="AM317" s="101"/>
      <c r="AN317" s="487"/>
      <c r="AO317" s="101"/>
      <c r="AP317" s="101">
        <f>SUM(AP318:AP318)</f>
        <v>0</v>
      </c>
      <c r="AQ317" s="101"/>
      <c r="AR317" s="101"/>
      <c r="AS317" s="487"/>
      <c r="AT317" s="101"/>
      <c r="AU317" s="101">
        <f>SUM(AU318:AU318)</f>
        <v>0</v>
      </c>
      <c r="AV317" s="101"/>
      <c r="AW317" s="101"/>
      <c r="AX317" s="487"/>
      <c r="AY317" s="101"/>
      <c r="AZ317" s="101">
        <f>SUM(AZ318:AZ318)</f>
        <v>0</v>
      </c>
      <c r="BA317" s="101"/>
      <c r="BB317" s="101"/>
      <c r="BC317" s="487"/>
      <c r="BD317" s="101"/>
      <c r="BE317" s="101">
        <f>SUM(BE318:BE318)</f>
        <v>0</v>
      </c>
      <c r="BF317" s="101"/>
      <c r="BG317" s="101"/>
      <c r="BH317" s="487"/>
      <c r="BI317" s="101"/>
      <c r="BJ317" s="101">
        <f>SUM(BJ318:BJ318)</f>
        <v>0</v>
      </c>
      <c r="BK317" s="101"/>
      <c r="BL317" s="101"/>
      <c r="BM317" s="487"/>
      <c r="BN317" s="101"/>
      <c r="BO317" s="101">
        <f>SUM(BO318:BO318)</f>
        <v>0</v>
      </c>
      <c r="BP317" s="101"/>
      <c r="BQ317" s="101"/>
      <c r="BR317" s="487"/>
      <c r="BS317" s="101"/>
      <c r="BT317" s="101">
        <f>SUM(BT318:BT318)</f>
        <v>0</v>
      </c>
      <c r="BU317" s="101"/>
      <c r="BV317" s="101"/>
      <c r="BW317" s="398"/>
      <c r="BZ317" s="411"/>
      <c r="CA317" s="411"/>
    </row>
    <row r="318" spans="1:79" ht="12.75" hidden="1" customHeight="1" x14ac:dyDescent="0.2">
      <c r="A318" s="388"/>
      <c r="B318" s="388"/>
      <c r="D318" s="398" t="s">
        <v>373</v>
      </c>
      <c r="F318" s="490"/>
      <c r="G318" s="491">
        <v>0</v>
      </c>
      <c r="H318" s="492"/>
      <c r="I318" s="101"/>
      <c r="J318" s="487"/>
      <c r="K318" s="493"/>
      <c r="L318" s="491">
        <v>0</v>
      </c>
      <c r="M318" s="492"/>
      <c r="N318" s="101"/>
      <c r="O318" s="487"/>
      <c r="P318" s="493"/>
      <c r="Q318" s="491">
        <v>0</v>
      </c>
      <c r="R318" s="492"/>
      <c r="S318" s="101"/>
      <c r="T318" s="487"/>
      <c r="U318" s="493"/>
      <c r="V318" s="491">
        <v>0</v>
      </c>
      <c r="W318" s="492"/>
      <c r="X318" s="101"/>
      <c r="Y318" s="487"/>
      <c r="Z318" s="493"/>
      <c r="AA318" s="491">
        <v>0</v>
      </c>
      <c r="AB318" s="492"/>
      <c r="AC318" s="101"/>
      <c r="AD318" s="487"/>
      <c r="AE318" s="493"/>
      <c r="AF318" s="491">
        <v>0</v>
      </c>
      <c r="AG318" s="492"/>
      <c r="AH318" s="101"/>
      <c r="AI318" s="487"/>
      <c r="AJ318" s="493"/>
      <c r="AK318" s="491">
        <v>0</v>
      </c>
      <c r="AL318" s="492"/>
      <c r="AM318" s="101"/>
      <c r="AN318" s="487"/>
      <c r="AO318" s="493"/>
      <c r="AP318" s="491">
        <v>0</v>
      </c>
      <c r="AQ318" s="492"/>
      <c r="AR318" s="101"/>
      <c r="AS318" s="487"/>
      <c r="AT318" s="493"/>
      <c r="AU318" s="491">
        <v>0</v>
      </c>
      <c r="AV318" s="492"/>
      <c r="AW318" s="101"/>
      <c r="AX318" s="487"/>
      <c r="AY318" s="493"/>
      <c r="AZ318" s="491">
        <v>0</v>
      </c>
      <c r="BA318" s="492"/>
      <c r="BB318" s="101"/>
      <c r="BC318" s="487"/>
      <c r="BD318" s="493"/>
      <c r="BE318" s="491">
        <v>0</v>
      </c>
      <c r="BF318" s="492"/>
      <c r="BG318" s="101"/>
      <c r="BH318" s="487"/>
      <c r="BI318" s="493"/>
      <c r="BJ318" s="491">
        <v>0</v>
      </c>
      <c r="BK318" s="492"/>
      <c r="BL318" s="101"/>
      <c r="BM318" s="487"/>
      <c r="BN318" s="493"/>
      <c r="BO318" s="491">
        <v>0</v>
      </c>
      <c r="BP318" s="492"/>
      <c r="BQ318" s="101"/>
      <c r="BR318" s="487"/>
      <c r="BS318" s="493"/>
      <c r="BT318" s="491">
        <f>SUM(L318:BO318)</f>
        <v>0</v>
      </c>
      <c r="BU318" s="492"/>
      <c r="BV318" s="101"/>
      <c r="BW318" s="398"/>
      <c r="BZ318" s="411"/>
      <c r="CA318" s="411"/>
    </row>
    <row r="319" spans="1:79" ht="12.75" hidden="1" customHeight="1" x14ac:dyDescent="0.2">
      <c r="A319" s="388"/>
      <c r="B319" s="388"/>
      <c r="D319" s="398"/>
      <c r="F319" s="388"/>
      <c r="G319" s="101"/>
      <c r="H319" s="101"/>
      <c r="I319" s="101"/>
      <c r="J319" s="487"/>
      <c r="K319" s="101"/>
      <c r="L319" s="101"/>
      <c r="M319" s="101"/>
      <c r="N319" s="101"/>
      <c r="O319" s="487"/>
      <c r="P319" s="101"/>
      <c r="Q319" s="101"/>
      <c r="R319" s="101"/>
      <c r="S319" s="101"/>
      <c r="T319" s="487"/>
      <c r="U319" s="101"/>
      <c r="V319" s="101"/>
      <c r="W319" s="101"/>
      <c r="X319" s="101"/>
      <c r="Y319" s="487"/>
      <c r="Z319" s="101"/>
      <c r="AA319" s="101"/>
      <c r="AB319" s="101"/>
      <c r="AC319" s="101"/>
      <c r="AD319" s="487"/>
      <c r="AE319" s="101"/>
      <c r="AF319" s="101"/>
      <c r="AG319" s="101"/>
      <c r="AH319" s="101"/>
      <c r="AI319" s="487"/>
      <c r="AJ319" s="101"/>
      <c r="AK319" s="101"/>
      <c r="AL319" s="101"/>
      <c r="AM319" s="101"/>
      <c r="AN319" s="487"/>
      <c r="AO319" s="101"/>
      <c r="AP319" s="101"/>
      <c r="AQ319" s="101"/>
      <c r="AR319" s="101"/>
      <c r="AS319" s="487"/>
      <c r="AT319" s="101"/>
      <c r="AU319" s="101"/>
      <c r="AV319" s="101"/>
      <c r="AW319" s="101"/>
      <c r="AX319" s="487"/>
      <c r="AY319" s="101"/>
      <c r="AZ319" s="101"/>
      <c r="BA319" s="101"/>
      <c r="BB319" s="101"/>
      <c r="BC319" s="487"/>
      <c r="BD319" s="101"/>
      <c r="BE319" s="101"/>
      <c r="BF319" s="101"/>
      <c r="BG319" s="101"/>
      <c r="BH319" s="487"/>
      <c r="BI319" s="101"/>
      <c r="BJ319" s="101"/>
      <c r="BK319" s="101"/>
      <c r="BL319" s="101"/>
      <c r="BM319" s="487"/>
      <c r="BN319" s="101"/>
      <c r="BO319" s="101"/>
      <c r="BP319" s="101"/>
      <c r="BQ319" s="101"/>
      <c r="BR319" s="487"/>
      <c r="BS319" s="101"/>
      <c r="BT319" s="101"/>
      <c r="BU319" s="101"/>
      <c r="BV319" s="101"/>
      <c r="BW319" s="398"/>
      <c r="BZ319" s="411"/>
      <c r="CA319" s="411"/>
    </row>
    <row r="320" spans="1:79" ht="12.75" customHeight="1" x14ac:dyDescent="0.3">
      <c r="A320" s="388"/>
      <c r="B320" s="388"/>
      <c r="D320" s="398"/>
      <c r="F320" s="388"/>
      <c r="G320" s="101"/>
      <c r="H320" s="101"/>
      <c r="I320" s="101"/>
      <c r="J320" s="487"/>
      <c r="K320" s="101"/>
      <c r="L320" s="101"/>
      <c r="M320" s="101"/>
      <c r="N320" s="101"/>
      <c r="O320" s="487"/>
      <c r="P320" s="101"/>
      <c r="Q320" s="101"/>
      <c r="R320" s="101"/>
      <c r="S320" s="101"/>
      <c r="T320" s="487"/>
      <c r="U320" s="101"/>
      <c r="V320" s="101"/>
      <c r="W320" s="101"/>
      <c r="X320" s="101"/>
      <c r="Y320" s="487"/>
      <c r="Z320" s="101"/>
      <c r="AA320" s="101"/>
      <c r="AB320" s="101"/>
      <c r="AC320" s="101"/>
      <c r="AD320" s="487"/>
      <c r="AE320" s="101"/>
      <c r="AF320" s="101"/>
      <c r="AG320" s="101"/>
      <c r="AH320" s="101"/>
      <c r="AI320" s="487"/>
      <c r="AJ320" s="101"/>
      <c r="AK320" s="101"/>
      <c r="AL320" s="101"/>
      <c r="AM320" s="101"/>
      <c r="AN320" s="487"/>
      <c r="AO320" s="101"/>
      <c r="AP320" s="101"/>
      <c r="AQ320" s="101"/>
      <c r="AR320" s="101"/>
      <c r="AS320" s="487"/>
      <c r="AT320" s="101"/>
      <c r="AU320" s="101"/>
      <c r="AV320" s="101"/>
      <c r="AW320" s="101"/>
      <c r="AX320" s="487"/>
      <c r="AY320" s="101"/>
      <c r="AZ320" s="101"/>
      <c r="BA320" s="101"/>
      <c r="BB320" s="101"/>
      <c r="BC320" s="487"/>
      <c r="BD320" s="101"/>
      <c r="BE320" s="101"/>
      <c r="BF320" s="101"/>
      <c r="BG320" s="101"/>
      <c r="BH320" s="487"/>
      <c r="BI320" s="101"/>
      <c r="BJ320" s="101"/>
      <c r="BK320" s="101"/>
      <c r="BL320" s="101"/>
      <c r="BM320" s="487"/>
      <c r="BN320" s="101"/>
      <c r="BO320" s="101"/>
      <c r="BP320" s="101"/>
      <c r="BQ320" s="101"/>
      <c r="BR320" s="487"/>
      <c r="BS320" s="101"/>
      <c r="BT320" s="101"/>
      <c r="BU320" s="101"/>
      <c r="BV320" s="101"/>
      <c r="BW320" s="398"/>
      <c r="BZ320" s="411"/>
      <c r="CA320" s="411"/>
    </row>
    <row r="321" spans="1:79" ht="12.75" customHeight="1" x14ac:dyDescent="0.3">
      <c r="A321" s="388"/>
      <c r="B321" s="388"/>
      <c r="D321" s="398" t="s">
        <v>437</v>
      </c>
      <c r="F321" s="388"/>
      <c r="G321" s="101">
        <f>SUM(G322:G322)</f>
        <v>41191</v>
      </c>
      <c r="H321" s="101"/>
      <c r="I321" s="101"/>
      <c r="J321" s="487"/>
      <c r="K321" s="101"/>
      <c r="L321" s="101">
        <f>SUM(L322:L322)</f>
        <v>0</v>
      </c>
      <c r="M321" s="101"/>
      <c r="N321" s="101"/>
      <c r="O321" s="487"/>
      <c r="P321" s="101"/>
      <c r="Q321" s="101">
        <f>SUM(Q322:Q322)</f>
        <v>0</v>
      </c>
      <c r="R321" s="101"/>
      <c r="S321" s="101"/>
      <c r="T321" s="487"/>
      <c r="U321" s="101"/>
      <c r="V321" s="101">
        <f>SUM(V322:V322)</f>
        <v>0</v>
      </c>
      <c r="W321" s="101"/>
      <c r="X321" s="101"/>
      <c r="Y321" s="487"/>
      <c r="Z321" s="101">
        <f t="shared" ref="Z321:BQ321" si="2">SUM(Z322:Z322)</f>
        <v>0</v>
      </c>
      <c r="AA321" s="101">
        <f>SUM(AA322:AA322)</f>
        <v>0</v>
      </c>
      <c r="AB321" s="101">
        <f t="shared" si="2"/>
        <v>0</v>
      </c>
      <c r="AC321" s="101">
        <f t="shared" si="2"/>
        <v>0</v>
      </c>
      <c r="AD321" s="487">
        <f t="shared" si="2"/>
        <v>0</v>
      </c>
      <c r="AE321" s="101">
        <f t="shared" si="2"/>
        <v>0</v>
      </c>
      <c r="AF321" s="101">
        <f>SUM(AF322:AF322)</f>
        <v>41191</v>
      </c>
      <c r="AG321" s="101">
        <f t="shared" si="2"/>
        <v>0</v>
      </c>
      <c r="AH321" s="101">
        <f t="shared" si="2"/>
        <v>0</v>
      </c>
      <c r="AI321" s="487">
        <f t="shared" si="2"/>
        <v>0</v>
      </c>
      <c r="AJ321" s="101">
        <f t="shared" si="2"/>
        <v>0</v>
      </c>
      <c r="AK321" s="101">
        <f>SUM(AK322:AK322)</f>
        <v>0</v>
      </c>
      <c r="AL321" s="101">
        <f t="shared" si="2"/>
        <v>0</v>
      </c>
      <c r="AM321" s="101">
        <f t="shared" si="2"/>
        <v>0</v>
      </c>
      <c r="AN321" s="487">
        <f t="shared" si="2"/>
        <v>0</v>
      </c>
      <c r="AO321" s="101">
        <f t="shared" si="2"/>
        <v>0</v>
      </c>
      <c r="AP321" s="101">
        <f>SUM(AP322:AP322)</f>
        <v>0</v>
      </c>
      <c r="AQ321" s="101">
        <f t="shared" si="2"/>
        <v>0</v>
      </c>
      <c r="AR321" s="101">
        <f t="shared" si="2"/>
        <v>0</v>
      </c>
      <c r="AS321" s="487">
        <f t="shared" si="2"/>
        <v>0</v>
      </c>
      <c r="AT321" s="101">
        <f t="shared" si="2"/>
        <v>0</v>
      </c>
      <c r="AU321" s="101">
        <f>SUM(AU322:AU322)</f>
        <v>0</v>
      </c>
      <c r="AV321" s="101">
        <f t="shared" si="2"/>
        <v>0</v>
      </c>
      <c r="AW321" s="101">
        <f t="shared" si="2"/>
        <v>0</v>
      </c>
      <c r="AX321" s="487">
        <f t="shared" si="2"/>
        <v>0</v>
      </c>
      <c r="AY321" s="101">
        <f t="shared" si="2"/>
        <v>0</v>
      </c>
      <c r="AZ321" s="101">
        <f>SUM(AZ322:AZ322)</f>
        <v>0</v>
      </c>
      <c r="BA321" s="101">
        <f t="shared" si="2"/>
        <v>0</v>
      </c>
      <c r="BB321" s="101">
        <f t="shared" si="2"/>
        <v>0</v>
      </c>
      <c r="BC321" s="487">
        <f t="shared" si="2"/>
        <v>0</v>
      </c>
      <c r="BD321" s="101">
        <f t="shared" si="2"/>
        <v>0</v>
      </c>
      <c r="BE321" s="101">
        <f>SUM(BE322:BE322)</f>
        <v>0</v>
      </c>
      <c r="BF321" s="101">
        <f t="shared" si="2"/>
        <v>0</v>
      </c>
      <c r="BG321" s="101">
        <f t="shared" si="2"/>
        <v>0</v>
      </c>
      <c r="BH321" s="487">
        <f t="shared" si="2"/>
        <v>0</v>
      </c>
      <c r="BI321" s="101">
        <f t="shared" si="2"/>
        <v>0</v>
      </c>
      <c r="BJ321" s="101">
        <f>SUM(BJ322:BJ322)</f>
        <v>0</v>
      </c>
      <c r="BK321" s="101">
        <f t="shared" si="2"/>
        <v>0</v>
      </c>
      <c r="BL321" s="101">
        <f t="shared" si="2"/>
        <v>0</v>
      </c>
      <c r="BM321" s="487">
        <f t="shared" si="2"/>
        <v>0</v>
      </c>
      <c r="BN321" s="101">
        <f t="shared" si="2"/>
        <v>0</v>
      </c>
      <c r="BO321" s="101">
        <f>SUM(BO322:BO322)</f>
        <v>0</v>
      </c>
      <c r="BP321" s="101">
        <f t="shared" si="2"/>
        <v>0</v>
      </c>
      <c r="BQ321" s="101">
        <f t="shared" si="2"/>
        <v>0</v>
      </c>
      <c r="BR321" s="487"/>
      <c r="BS321" s="101"/>
      <c r="BT321" s="101">
        <f>SUM(BT322:BT322)</f>
        <v>41191</v>
      </c>
      <c r="BU321" s="101"/>
      <c r="BV321" s="101"/>
      <c r="BW321" s="398"/>
      <c r="BZ321" s="411"/>
      <c r="CA321" s="411"/>
    </row>
    <row r="322" spans="1:79" ht="12.75" customHeight="1" x14ac:dyDescent="0.3">
      <c r="A322" s="388"/>
      <c r="B322" s="388"/>
      <c r="D322" s="398" t="s">
        <v>373</v>
      </c>
      <c r="F322" s="490"/>
      <c r="G322" s="491">
        <v>41191</v>
      </c>
      <c r="H322" s="492"/>
      <c r="I322" s="101"/>
      <c r="J322" s="487"/>
      <c r="K322" s="493"/>
      <c r="L322" s="491">
        <v>0</v>
      </c>
      <c r="M322" s="492"/>
      <c r="N322" s="101"/>
      <c r="O322" s="487"/>
      <c r="P322" s="493"/>
      <c r="Q322" s="491">
        <v>0</v>
      </c>
      <c r="R322" s="492"/>
      <c r="S322" s="101"/>
      <c r="T322" s="487"/>
      <c r="U322" s="493"/>
      <c r="V322" s="491">
        <v>0</v>
      </c>
      <c r="W322" s="492"/>
      <c r="X322" s="101"/>
      <c r="Y322" s="487"/>
      <c r="Z322" s="493"/>
      <c r="AA322" s="491">
        <v>0</v>
      </c>
      <c r="AB322" s="492"/>
      <c r="AC322" s="101"/>
      <c r="AD322" s="487"/>
      <c r="AE322" s="493"/>
      <c r="AF322" s="491">
        <v>41191</v>
      </c>
      <c r="AG322" s="492"/>
      <c r="AH322" s="101"/>
      <c r="AI322" s="487"/>
      <c r="AJ322" s="493"/>
      <c r="AK322" s="491">
        <v>0</v>
      </c>
      <c r="AL322" s="492"/>
      <c r="AM322" s="101"/>
      <c r="AN322" s="487"/>
      <c r="AO322" s="493"/>
      <c r="AP322" s="491">
        <v>0</v>
      </c>
      <c r="AQ322" s="492"/>
      <c r="AR322" s="101"/>
      <c r="AS322" s="487"/>
      <c r="AT322" s="493"/>
      <c r="AU322" s="491">
        <v>0</v>
      </c>
      <c r="AV322" s="492"/>
      <c r="AW322" s="101"/>
      <c r="AX322" s="487"/>
      <c r="AY322" s="493"/>
      <c r="AZ322" s="491">
        <v>0</v>
      </c>
      <c r="BA322" s="492"/>
      <c r="BB322" s="101"/>
      <c r="BC322" s="487"/>
      <c r="BD322" s="493"/>
      <c r="BE322" s="491">
        <v>0</v>
      </c>
      <c r="BF322" s="492"/>
      <c r="BG322" s="101"/>
      <c r="BH322" s="487"/>
      <c r="BI322" s="493"/>
      <c r="BJ322" s="491">
        <v>0</v>
      </c>
      <c r="BK322" s="492"/>
      <c r="BL322" s="101"/>
      <c r="BM322" s="487"/>
      <c r="BN322" s="493"/>
      <c r="BO322" s="491">
        <v>0</v>
      </c>
      <c r="BP322" s="492"/>
      <c r="BQ322" s="101"/>
      <c r="BR322" s="487"/>
      <c r="BS322" s="493"/>
      <c r="BT322" s="491">
        <f>SUM(L322:BO322)</f>
        <v>41191</v>
      </c>
      <c r="BU322" s="492"/>
      <c r="BV322" s="101"/>
      <c r="BW322" s="398"/>
      <c r="BZ322" s="411"/>
      <c r="CA322" s="411"/>
    </row>
    <row r="323" spans="1:79" ht="12.75" customHeight="1" x14ac:dyDescent="0.3">
      <c r="A323" s="388"/>
      <c r="B323" s="388"/>
      <c r="D323" s="398"/>
      <c r="F323" s="388"/>
      <c r="G323" s="101"/>
      <c r="H323" s="101"/>
      <c r="I323" s="101"/>
      <c r="J323" s="487"/>
      <c r="K323" s="101"/>
      <c r="L323" s="101"/>
      <c r="M323" s="101"/>
      <c r="N323" s="101"/>
      <c r="O323" s="487"/>
      <c r="P323" s="101"/>
      <c r="Q323" s="101"/>
      <c r="R323" s="101"/>
      <c r="S323" s="101"/>
      <c r="T323" s="487"/>
      <c r="U323" s="101"/>
      <c r="V323" s="101"/>
      <c r="W323" s="101"/>
      <c r="X323" s="101"/>
      <c r="Y323" s="487"/>
      <c r="Z323" s="101"/>
      <c r="AA323" s="101"/>
      <c r="AB323" s="101"/>
      <c r="AC323" s="101"/>
      <c r="AD323" s="487"/>
      <c r="AE323" s="101"/>
      <c r="AF323" s="101"/>
      <c r="AG323" s="101"/>
      <c r="AH323" s="101"/>
      <c r="AI323" s="487"/>
      <c r="AJ323" s="101"/>
      <c r="AK323" s="101"/>
      <c r="AL323" s="101"/>
      <c r="AM323" s="101"/>
      <c r="AN323" s="487"/>
      <c r="AO323" s="101"/>
      <c r="AP323" s="101"/>
      <c r="AQ323" s="101"/>
      <c r="AR323" s="101"/>
      <c r="AS323" s="487"/>
      <c r="AT323" s="101"/>
      <c r="AU323" s="101"/>
      <c r="AV323" s="101"/>
      <c r="AW323" s="101"/>
      <c r="AX323" s="487"/>
      <c r="AY323" s="101"/>
      <c r="AZ323" s="101"/>
      <c r="BA323" s="101"/>
      <c r="BB323" s="101"/>
      <c r="BC323" s="487"/>
      <c r="BD323" s="101"/>
      <c r="BE323" s="101"/>
      <c r="BF323" s="101"/>
      <c r="BG323" s="101"/>
      <c r="BH323" s="487"/>
      <c r="BI323" s="101"/>
      <c r="BJ323" s="101"/>
      <c r="BK323" s="101"/>
      <c r="BL323" s="101"/>
      <c r="BM323" s="487"/>
      <c r="BN323" s="101"/>
      <c r="BO323" s="101"/>
      <c r="BP323" s="101"/>
      <c r="BQ323" s="101"/>
      <c r="BR323" s="487"/>
      <c r="BS323" s="101"/>
      <c r="BT323" s="101"/>
      <c r="BU323" s="101"/>
      <c r="BV323" s="101"/>
      <c r="BW323" s="398"/>
      <c r="BZ323" s="411"/>
      <c r="CA323" s="411"/>
    </row>
    <row r="324" spans="1:79" ht="12.75" customHeight="1" x14ac:dyDescent="0.3">
      <c r="A324" s="388"/>
      <c r="B324" s="388"/>
      <c r="D324" s="398" t="s">
        <v>382</v>
      </c>
      <c r="F324" s="388"/>
      <c r="G324" s="101">
        <f>SUM(G325:G325)</f>
        <v>0</v>
      </c>
      <c r="H324" s="101"/>
      <c r="I324" s="101"/>
      <c r="J324" s="487"/>
      <c r="K324" s="101"/>
      <c r="L324" s="101">
        <f>SUM(L325:L325)</f>
        <v>0</v>
      </c>
      <c r="M324" s="101"/>
      <c r="N324" s="101"/>
      <c r="O324" s="487"/>
      <c r="P324" s="101"/>
      <c r="Q324" s="101">
        <f>SUM(Q325:Q325)</f>
        <v>0</v>
      </c>
      <c r="R324" s="101"/>
      <c r="S324" s="101"/>
      <c r="T324" s="487"/>
      <c r="U324" s="101"/>
      <c r="V324" s="101">
        <f>SUM(V325:V325)</f>
        <v>0</v>
      </c>
      <c r="W324" s="101"/>
      <c r="X324" s="101"/>
      <c r="Y324" s="487"/>
      <c r="Z324" s="101"/>
      <c r="AA324" s="101">
        <f>SUM(AA325:AA325)</f>
        <v>0</v>
      </c>
      <c r="AB324" s="101"/>
      <c r="AC324" s="101"/>
      <c r="AD324" s="487"/>
      <c r="AE324" s="101"/>
      <c r="AF324" s="101">
        <f>SUM(AF325:AF325)</f>
        <v>0</v>
      </c>
      <c r="AG324" s="101"/>
      <c r="AH324" s="101"/>
      <c r="AI324" s="487"/>
      <c r="AJ324" s="101"/>
      <c r="AK324" s="101">
        <f>SUM(AK325:AK325)</f>
        <v>0</v>
      </c>
      <c r="AL324" s="101"/>
      <c r="AM324" s="101"/>
      <c r="AN324" s="487"/>
      <c r="AO324" s="101"/>
      <c r="AP324" s="101">
        <f>SUM(AP325:AP325)</f>
        <v>0</v>
      </c>
      <c r="AQ324" s="101"/>
      <c r="AR324" s="101"/>
      <c r="AS324" s="487"/>
      <c r="AT324" s="101"/>
      <c r="AU324" s="101">
        <f>SUM(AU325:AU325)</f>
        <v>0</v>
      </c>
      <c r="AV324" s="101"/>
      <c r="AW324" s="101"/>
      <c r="AX324" s="487"/>
      <c r="AY324" s="101"/>
      <c r="AZ324" s="101">
        <f>SUM(AZ325:AZ325)</f>
        <v>0</v>
      </c>
      <c r="BA324" s="101"/>
      <c r="BB324" s="101"/>
      <c r="BC324" s="487"/>
      <c r="BD324" s="101"/>
      <c r="BE324" s="101">
        <f>SUM(BE325:BE325)</f>
        <v>0</v>
      </c>
      <c r="BF324" s="101"/>
      <c r="BG324" s="101"/>
      <c r="BH324" s="487"/>
      <c r="BI324" s="101"/>
      <c r="BJ324" s="101">
        <f>SUM(BJ325:BJ325)</f>
        <v>322932</v>
      </c>
      <c r="BK324" s="101"/>
      <c r="BL324" s="101"/>
      <c r="BM324" s="487"/>
      <c r="BN324" s="101"/>
      <c r="BO324" s="101">
        <f>SUM(BO325:BO325)</f>
        <v>0</v>
      </c>
      <c r="BP324" s="101"/>
      <c r="BQ324" s="101"/>
      <c r="BR324" s="487"/>
      <c r="BS324" s="101"/>
      <c r="BT324" s="101">
        <f>SUM(BT325:BT325)</f>
        <v>322932</v>
      </c>
      <c r="BU324" s="101"/>
      <c r="BV324" s="101"/>
      <c r="BW324" s="398"/>
      <c r="BZ324" s="411"/>
      <c r="CA324" s="411"/>
    </row>
    <row r="325" spans="1:79" ht="12.75" customHeight="1" x14ac:dyDescent="0.3">
      <c r="A325" s="388"/>
      <c r="B325" s="388"/>
      <c r="D325" s="398" t="s">
        <v>373</v>
      </c>
      <c r="F325" s="490"/>
      <c r="G325" s="491">
        <v>0</v>
      </c>
      <c r="H325" s="492"/>
      <c r="I325" s="101"/>
      <c r="J325" s="487"/>
      <c r="K325" s="493"/>
      <c r="L325" s="491">
        <v>0</v>
      </c>
      <c r="M325" s="492"/>
      <c r="N325" s="101"/>
      <c r="O325" s="487"/>
      <c r="P325" s="493"/>
      <c r="Q325" s="491">
        <v>0</v>
      </c>
      <c r="R325" s="492"/>
      <c r="S325" s="101"/>
      <c r="T325" s="487"/>
      <c r="U325" s="493"/>
      <c r="V325" s="491">
        <v>0</v>
      </c>
      <c r="W325" s="492"/>
      <c r="X325" s="101"/>
      <c r="Y325" s="487"/>
      <c r="Z325" s="493"/>
      <c r="AA325" s="491">
        <v>0</v>
      </c>
      <c r="AB325" s="492"/>
      <c r="AC325" s="101"/>
      <c r="AD325" s="487"/>
      <c r="AE325" s="493"/>
      <c r="AF325" s="491">
        <v>0</v>
      </c>
      <c r="AG325" s="492"/>
      <c r="AH325" s="101"/>
      <c r="AI325" s="487"/>
      <c r="AJ325" s="493"/>
      <c r="AK325" s="491">
        <v>0</v>
      </c>
      <c r="AL325" s="492"/>
      <c r="AM325" s="101"/>
      <c r="AN325" s="487"/>
      <c r="AO325" s="493"/>
      <c r="AP325" s="491">
        <v>0</v>
      </c>
      <c r="AQ325" s="492"/>
      <c r="AR325" s="101"/>
      <c r="AS325" s="487"/>
      <c r="AT325" s="493"/>
      <c r="AU325" s="491">
        <v>0</v>
      </c>
      <c r="AV325" s="492"/>
      <c r="AW325" s="101"/>
      <c r="AX325" s="487"/>
      <c r="AY325" s="493"/>
      <c r="AZ325" s="491">
        <v>0</v>
      </c>
      <c r="BA325" s="492"/>
      <c r="BB325" s="101"/>
      <c r="BC325" s="487"/>
      <c r="BD325" s="493"/>
      <c r="BE325" s="491">
        <v>0</v>
      </c>
      <c r="BF325" s="492"/>
      <c r="BG325" s="101"/>
      <c r="BH325" s="487"/>
      <c r="BI325" s="493"/>
      <c r="BJ325" s="491">
        <v>322932</v>
      </c>
      <c r="BK325" s="492"/>
      <c r="BL325" s="101"/>
      <c r="BM325" s="487"/>
      <c r="BN325" s="493"/>
      <c r="BO325" s="491">
        <v>0</v>
      </c>
      <c r="BP325" s="492"/>
      <c r="BQ325" s="101"/>
      <c r="BR325" s="487"/>
      <c r="BS325" s="493"/>
      <c r="BT325" s="491">
        <f>SUM(L325:BO325)</f>
        <v>322932</v>
      </c>
      <c r="BU325" s="492"/>
      <c r="BV325" s="101"/>
      <c r="BW325" s="398"/>
      <c r="BZ325" s="411"/>
      <c r="CA325" s="411"/>
    </row>
    <row r="326" spans="1:79" ht="12.75" customHeight="1" x14ac:dyDescent="0.3">
      <c r="A326" s="388"/>
      <c r="B326" s="388"/>
      <c r="D326" s="398"/>
      <c r="F326" s="388"/>
      <c r="G326" s="101"/>
      <c r="H326" s="101"/>
      <c r="I326" s="101"/>
      <c r="J326" s="487"/>
      <c r="K326" s="101"/>
      <c r="L326" s="101"/>
      <c r="M326" s="101"/>
      <c r="N326" s="101"/>
      <c r="O326" s="487"/>
      <c r="P326" s="101"/>
      <c r="Q326" s="101"/>
      <c r="R326" s="101"/>
      <c r="S326" s="101"/>
      <c r="T326" s="487"/>
      <c r="U326" s="101"/>
      <c r="V326" s="101"/>
      <c r="W326" s="101"/>
      <c r="X326" s="101"/>
      <c r="Y326" s="487"/>
      <c r="Z326" s="101"/>
      <c r="AA326" s="101"/>
      <c r="AB326" s="101"/>
      <c r="AC326" s="101"/>
      <c r="AD326" s="487"/>
      <c r="AE326" s="101"/>
      <c r="AF326" s="101"/>
      <c r="AG326" s="101"/>
      <c r="AH326" s="101"/>
      <c r="AI326" s="487"/>
      <c r="AJ326" s="101"/>
      <c r="AK326" s="101"/>
      <c r="AL326" s="101"/>
      <c r="AM326" s="101"/>
      <c r="AN326" s="487"/>
      <c r="AO326" s="101"/>
      <c r="AP326" s="101"/>
      <c r="AQ326" s="101"/>
      <c r="AR326" s="101"/>
      <c r="AS326" s="487"/>
      <c r="AT326" s="101"/>
      <c r="AU326" s="101"/>
      <c r="AV326" s="101"/>
      <c r="AW326" s="101"/>
      <c r="AX326" s="487"/>
      <c r="AY326" s="101"/>
      <c r="AZ326" s="101"/>
      <c r="BA326" s="101"/>
      <c r="BB326" s="101"/>
      <c r="BC326" s="487"/>
      <c r="BD326" s="101"/>
      <c r="BE326" s="101"/>
      <c r="BF326" s="101"/>
      <c r="BG326" s="101"/>
      <c r="BH326" s="487"/>
      <c r="BI326" s="101"/>
      <c r="BJ326" s="101"/>
      <c r="BK326" s="101"/>
      <c r="BL326" s="101"/>
      <c r="BM326" s="487"/>
      <c r="BN326" s="101"/>
      <c r="BO326" s="101"/>
      <c r="BP326" s="101"/>
      <c r="BQ326" s="101"/>
      <c r="BR326" s="487"/>
      <c r="BS326" s="101"/>
      <c r="BT326" s="101"/>
      <c r="BU326" s="101"/>
      <c r="BV326" s="101"/>
      <c r="BW326" s="398"/>
      <c r="BZ326" s="411"/>
      <c r="CA326" s="411"/>
    </row>
    <row r="327" spans="1:79" ht="12.75" customHeight="1" x14ac:dyDescent="0.3">
      <c r="A327" s="388"/>
      <c r="B327" s="388"/>
      <c r="D327" s="398" t="s">
        <v>438</v>
      </c>
      <c r="F327" s="388"/>
      <c r="G327" s="101">
        <f>SUM(G328:G328)</f>
        <v>0</v>
      </c>
      <c r="H327" s="101"/>
      <c r="I327" s="101"/>
      <c r="J327" s="487"/>
      <c r="K327" s="101"/>
      <c r="L327" s="101">
        <f>SUM(L328:L328)</f>
        <v>0</v>
      </c>
      <c r="M327" s="101"/>
      <c r="N327" s="101"/>
      <c r="O327" s="487"/>
      <c r="P327" s="101"/>
      <c r="Q327" s="101">
        <f>SUM(Q328:Q328)</f>
        <v>0</v>
      </c>
      <c r="R327" s="101"/>
      <c r="S327" s="101"/>
      <c r="T327" s="487"/>
      <c r="U327" s="101"/>
      <c r="V327" s="101">
        <f>SUM(V328:V328)</f>
        <v>0</v>
      </c>
      <c r="W327" s="101"/>
      <c r="X327" s="101"/>
      <c r="Y327" s="487"/>
      <c r="Z327" s="101"/>
      <c r="AA327" s="101">
        <f>SUM(AA328:AA328)</f>
        <v>0</v>
      </c>
      <c r="AB327" s="101"/>
      <c r="AC327" s="101"/>
      <c r="AD327" s="487"/>
      <c r="AE327" s="101"/>
      <c r="AF327" s="101">
        <f>SUM(AF328:AF328)</f>
        <v>0</v>
      </c>
      <c r="AG327" s="101"/>
      <c r="AH327" s="101"/>
      <c r="AI327" s="487"/>
      <c r="AJ327" s="101"/>
      <c r="AK327" s="101">
        <f>SUM(AK328:AK328)</f>
        <v>0</v>
      </c>
      <c r="AL327" s="101"/>
      <c r="AM327" s="101"/>
      <c r="AN327" s="487"/>
      <c r="AO327" s="101"/>
      <c r="AP327" s="101">
        <f>SUM(AP328:AP328)</f>
        <v>0</v>
      </c>
      <c r="AQ327" s="101"/>
      <c r="AR327" s="101"/>
      <c r="AS327" s="487"/>
      <c r="AT327" s="101"/>
      <c r="AU327" s="101">
        <f>SUM(AU328:AU328)</f>
        <v>0</v>
      </c>
      <c r="AV327" s="101"/>
      <c r="AW327" s="101"/>
      <c r="AX327" s="487"/>
      <c r="AY327" s="101"/>
      <c r="AZ327" s="101">
        <f>SUM(AZ328:AZ328)</f>
        <v>0</v>
      </c>
      <c r="BA327" s="101"/>
      <c r="BB327" s="101"/>
      <c r="BC327" s="487"/>
      <c r="BD327" s="101"/>
      <c r="BE327" s="101">
        <f>SUM(BE328:BE328)</f>
        <v>0</v>
      </c>
      <c r="BF327" s="101"/>
      <c r="BG327" s="101"/>
      <c r="BH327" s="487"/>
      <c r="BI327" s="101"/>
      <c r="BJ327" s="101">
        <f>SUM(BJ328:BJ328)</f>
        <v>0</v>
      </c>
      <c r="BK327" s="101"/>
      <c r="BL327" s="101"/>
      <c r="BM327" s="487"/>
      <c r="BN327" s="101"/>
      <c r="BO327" s="101">
        <f>SUM(BO328:BO328)</f>
        <v>0</v>
      </c>
      <c r="BP327" s="101"/>
      <c r="BQ327" s="101"/>
      <c r="BR327" s="487"/>
      <c r="BS327" s="101"/>
      <c r="BT327" s="101">
        <f>SUM(BT328:BT328)</f>
        <v>0</v>
      </c>
      <c r="BU327" s="101"/>
      <c r="BV327" s="101"/>
      <c r="BW327" s="398"/>
      <c r="BZ327" s="411"/>
      <c r="CA327" s="411"/>
    </row>
    <row r="328" spans="1:79" ht="12.75" customHeight="1" x14ac:dyDescent="0.3">
      <c r="A328" s="388"/>
      <c r="B328" s="388"/>
      <c r="D328" s="398" t="s">
        <v>373</v>
      </c>
      <c r="F328" s="490"/>
      <c r="G328" s="491">
        <v>0</v>
      </c>
      <c r="H328" s="492"/>
      <c r="I328" s="101"/>
      <c r="J328" s="487"/>
      <c r="K328" s="493"/>
      <c r="L328" s="491">
        <v>0</v>
      </c>
      <c r="M328" s="492"/>
      <c r="N328" s="101"/>
      <c r="O328" s="487"/>
      <c r="P328" s="493"/>
      <c r="Q328" s="491">
        <v>0</v>
      </c>
      <c r="R328" s="492"/>
      <c r="S328" s="101"/>
      <c r="T328" s="487"/>
      <c r="U328" s="493"/>
      <c r="V328" s="491">
        <v>0</v>
      </c>
      <c r="W328" s="492"/>
      <c r="X328" s="101"/>
      <c r="Y328" s="487"/>
      <c r="Z328" s="493"/>
      <c r="AA328" s="491">
        <v>0</v>
      </c>
      <c r="AB328" s="492"/>
      <c r="AC328" s="101"/>
      <c r="AD328" s="487"/>
      <c r="AE328" s="493"/>
      <c r="AF328" s="491">
        <v>0</v>
      </c>
      <c r="AG328" s="492"/>
      <c r="AH328" s="101"/>
      <c r="AI328" s="487"/>
      <c r="AJ328" s="493"/>
      <c r="AK328" s="491">
        <v>0</v>
      </c>
      <c r="AL328" s="492"/>
      <c r="AM328" s="101"/>
      <c r="AN328" s="487"/>
      <c r="AO328" s="493"/>
      <c r="AP328" s="491">
        <v>0</v>
      </c>
      <c r="AQ328" s="492"/>
      <c r="AR328" s="101"/>
      <c r="AS328" s="487"/>
      <c r="AT328" s="493"/>
      <c r="AU328" s="491">
        <v>0</v>
      </c>
      <c r="AV328" s="492"/>
      <c r="AW328" s="101"/>
      <c r="AX328" s="487"/>
      <c r="AY328" s="493"/>
      <c r="AZ328" s="491">
        <v>0</v>
      </c>
      <c r="BA328" s="492"/>
      <c r="BB328" s="101"/>
      <c r="BC328" s="487"/>
      <c r="BD328" s="493"/>
      <c r="BE328" s="491">
        <v>0</v>
      </c>
      <c r="BF328" s="492"/>
      <c r="BG328" s="101"/>
      <c r="BH328" s="487"/>
      <c r="BI328" s="493"/>
      <c r="BJ328" s="491">
        <v>0</v>
      </c>
      <c r="BK328" s="492"/>
      <c r="BL328" s="101"/>
      <c r="BM328" s="487"/>
      <c r="BN328" s="493"/>
      <c r="BO328" s="491">
        <v>0</v>
      </c>
      <c r="BP328" s="492"/>
      <c r="BQ328" s="101"/>
      <c r="BR328" s="487"/>
      <c r="BS328" s="493"/>
      <c r="BT328" s="491">
        <f>SUM(L328:BO328)</f>
        <v>0</v>
      </c>
      <c r="BU328" s="492"/>
      <c r="BV328" s="101"/>
      <c r="BW328" s="398"/>
      <c r="BZ328" s="411"/>
      <c r="CA328" s="411"/>
    </row>
    <row r="329" spans="1:79" ht="12.75" customHeight="1" x14ac:dyDescent="0.3">
      <c r="A329" s="388"/>
      <c r="B329" s="388"/>
      <c r="D329" s="398"/>
      <c r="F329" s="388"/>
      <c r="G329" s="101"/>
      <c r="H329" s="101"/>
      <c r="I329" s="101"/>
      <c r="J329" s="487"/>
      <c r="K329" s="101"/>
      <c r="L329" s="101"/>
      <c r="M329" s="101"/>
      <c r="N329" s="101"/>
      <c r="O329" s="487"/>
      <c r="P329" s="101"/>
      <c r="Q329" s="101"/>
      <c r="R329" s="101"/>
      <c r="S329" s="101"/>
      <c r="T329" s="487"/>
      <c r="U329" s="101"/>
      <c r="V329" s="101"/>
      <c r="W329" s="101"/>
      <c r="X329" s="101"/>
      <c r="Y329" s="487"/>
      <c r="Z329" s="101"/>
      <c r="AA329" s="101"/>
      <c r="AB329" s="101"/>
      <c r="AC329" s="101"/>
      <c r="AD329" s="487"/>
      <c r="AE329" s="101"/>
      <c r="AF329" s="101"/>
      <c r="AG329" s="101"/>
      <c r="AH329" s="101"/>
      <c r="AI329" s="487"/>
      <c r="AJ329" s="101"/>
      <c r="AK329" s="101"/>
      <c r="AL329" s="101"/>
      <c r="AM329" s="101"/>
      <c r="AN329" s="487"/>
      <c r="AO329" s="101"/>
      <c r="AP329" s="101"/>
      <c r="AQ329" s="101"/>
      <c r="AR329" s="101"/>
      <c r="AS329" s="487"/>
      <c r="AT329" s="101"/>
      <c r="AU329" s="101"/>
      <c r="AV329" s="101"/>
      <c r="AW329" s="101"/>
      <c r="AX329" s="487"/>
      <c r="AY329" s="101"/>
      <c r="AZ329" s="101"/>
      <c r="BA329" s="101"/>
      <c r="BB329" s="101"/>
      <c r="BC329" s="487"/>
      <c r="BD329" s="101"/>
      <c r="BE329" s="101"/>
      <c r="BF329" s="101"/>
      <c r="BG329" s="101"/>
      <c r="BH329" s="487"/>
      <c r="BI329" s="101"/>
      <c r="BJ329" s="101"/>
      <c r="BK329" s="101"/>
      <c r="BL329" s="101"/>
      <c r="BM329" s="487"/>
      <c r="BN329" s="101"/>
      <c r="BO329" s="101"/>
      <c r="BP329" s="101"/>
      <c r="BQ329" s="101"/>
      <c r="BR329" s="487"/>
      <c r="BS329" s="101"/>
      <c r="BT329" s="101"/>
      <c r="BU329" s="101"/>
      <c r="BV329" s="101"/>
      <c r="BW329" s="398"/>
      <c r="BZ329" s="411"/>
      <c r="CA329" s="411"/>
    </row>
    <row r="330" spans="1:79" ht="12.75" customHeight="1" x14ac:dyDescent="0.3">
      <c r="A330" s="388"/>
      <c r="B330" s="388"/>
      <c r="D330" s="398" t="s">
        <v>393</v>
      </c>
      <c r="F330" s="388"/>
      <c r="G330" s="101">
        <f>SUM(G331:G331)</f>
        <v>0</v>
      </c>
      <c r="H330" s="101"/>
      <c r="I330" s="101"/>
      <c r="J330" s="487"/>
      <c r="K330" s="101"/>
      <c r="L330" s="101">
        <f>SUM(L331:L331)</f>
        <v>0</v>
      </c>
      <c r="M330" s="101"/>
      <c r="N330" s="101"/>
      <c r="O330" s="487"/>
      <c r="P330" s="101"/>
      <c r="Q330" s="101">
        <f>SUM(Q331:Q331)</f>
        <v>0</v>
      </c>
      <c r="R330" s="101"/>
      <c r="S330" s="101"/>
      <c r="T330" s="487"/>
      <c r="U330" s="101"/>
      <c r="V330" s="101">
        <f>SUM(V331:V331)</f>
        <v>0</v>
      </c>
      <c r="W330" s="101"/>
      <c r="X330" s="101"/>
      <c r="Y330" s="487"/>
      <c r="Z330" s="101"/>
      <c r="AA330" s="101">
        <f>SUM(AA331:AA331)</f>
        <v>0</v>
      </c>
      <c r="AB330" s="101"/>
      <c r="AC330" s="101"/>
      <c r="AD330" s="487"/>
      <c r="AE330" s="101"/>
      <c r="AF330" s="101">
        <f>SUM(AF331:AF331)</f>
        <v>0</v>
      </c>
      <c r="AG330" s="101"/>
      <c r="AH330" s="101"/>
      <c r="AI330" s="487"/>
      <c r="AJ330" s="101"/>
      <c r="AK330" s="101">
        <f>SUM(AK331:AK331)</f>
        <v>0</v>
      </c>
      <c r="AL330" s="101"/>
      <c r="AM330" s="101"/>
      <c r="AN330" s="487"/>
      <c r="AO330" s="101"/>
      <c r="AP330" s="101">
        <f>SUM(AP331:AP331)</f>
        <v>0</v>
      </c>
      <c r="AQ330" s="101"/>
      <c r="AR330" s="101"/>
      <c r="AS330" s="487"/>
      <c r="AT330" s="101"/>
      <c r="AU330" s="101">
        <f>SUM(AU331:AU331)</f>
        <v>0</v>
      </c>
      <c r="AV330" s="101"/>
      <c r="AW330" s="101"/>
      <c r="AX330" s="487"/>
      <c r="AY330" s="101"/>
      <c r="AZ330" s="101">
        <f>SUM(AZ331:AZ331)</f>
        <v>0</v>
      </c>
      <c r="BA330" s="101"/>
      <c r="BB330" s="101"/>
      <c r="BC330" s="487"/>
      <c r="BD330" s="101"/>
      <c r="BE330" s="101">
        <f>SUM(BE331:BE331)</f>
        <v>0</v>
      </c>
      <c r="BF330" s="101"/>
      <c r="BG330" s="101"/>
      <c r="BH330" s="487"/>
      <c r="BI330" s="101"/>
      <c r="BJ330" s="101">
        <f>SUM(BJ331:BJ331)</f>
        <v>0</v>
      </c>
      <c r="BK330" s="101"/>
      <c r="BL330" s="101"/>
      <c r="BM330" s="487"/>
      <c r="BN330" s="101"/>
      <c r="BO330" s="101">
        <f>SUM(BO331:BO331)</f>
        <v>0</v>
      </c>
      <c r="BP330" s="101"/>
      <c r="BQ330" s="101"/>
      <c r="BR330" s="487"/>
      <c r="BS330" s="101"/>
      <c r="BT330" s="101">
        <f>SUM(BT331:BT331)</f>
        <v>0</v>
      </c>
      <c r="BU330" s="101"/>
      <c r="BV330" s="101"/>
      <c r="BW330" s="398"/>
      <c r="BZ330" s="411"/>
      <c r="CA330" s="411"/>
    </row>
    <row r="331" spans="1:79" ht="12.75" customHeight="1" x14ac:dyDescent="0.3">
      <c r="A331" s="388"/>
      <c r="B331" s="388"/>
      <c r="D331" s="398" t="s">
        <v>373</v>
      </c>
      <c r="F331" s="490"/>
      <c r="G331" s="491">
        <v>0</v>
      </c>
      <c r="H331" s="492"/>
      <c r="I331" s="101"/>
      <c r="J331" s="487"/>
      <c r="K331" s="493"/>
      <c r="L331" s="491">
        <v>0</v>
      </c>
      <c r="M331" s="492"/>
      <c r="N331" s="101"/>
      <c r="O331" s="487"/>
      <c r="P331" s="493"/>
      <c r="Q331" s="491">
        <v>0</v>
      </c>
      <c r="R331" s="492"/>
      <c r="S331" s="101"/>
      <c r="T331" s="487"/>
      <c r="U331" s="493"/>
      <c r="V331" s="491">
        <v>0</v>
      </c>
      <c r="W331" s="492"/>
      <c r="X331" s="101"/>
      <c r="Y331" s="487"/>
      <c r="Z331" s="493"/>
      <c r="AA331" s="491">
        <v>0</v>
      </c>
      <c r="AB331" s="492"/>
      <c r="AC331" s="101"/>
      <c r="AD331" s="487"/>
      <c r="AE331" s="493"/>
      <c r="AF331" s="491">
        <v>0</v>
      </c>
      <c r="AG331" s="492"/>
      <c r="AH331" s="101"/>
      <c r="AI331" s="487"/>
      <c r="AJ331" s="493"/>
      <c r="AK331" s="491">
        <v>0</v>
      </c>
      <c r="AL331" s="492"/>
      <c r="AM331" s="101"/>
      <c r="AN331" s="487"/>
      <c r="AO331" s="493"/>
      <c r="AP331" s="491">
        <v>0</v>
      </c>
      <c r="AQ331" s="492"/>
      <c r="AR331" s="101"/>
      <c r="AS331" s="487"/>
      <c r="AT331" s="493"/>
      <c r="AU331" s="491">
        <v>0</v>
      </c>
      <c r="AV331" s="492"/>
      <c r="AW331" s="101"/>
      <c r="AX331" s="487"/>
      <c r="AY331" s="493"/>
      <c r="AZ331" s="491">
        <v>0</v>
      </c>
      <c r="BA331" s="492"/>
      <c r="BB331" s="101"/>
      <c r="BC331" s="487"/>
      <c r="BD331" s="493"/>
      <c r="BE331" s="491">
        <v>0</v>
      </c>
      <c r="BF331" s="492"/>
      <c r="BG331" s="101"/>
      <c r="BH331" s="487"/>
      <c r="BI331" s="493"/>
      <c r="BJ331" s="491">
        <v>0</v>
      </c>
      <c r="BK331" s="492"/>
      <c r="BL331" s="101"/>
      <c r="BM331" s="487"/>
      <c r="BN331" s="493"/>
      <c r="BO331" s="491">
        <v>0</v>
      </c>
      <c r="BP331" s="492"/>
      <c r="BQ331" s="101"/>
      <c r="BR331" s="487"/>
      <c r="BS331" s="493"/>
      <c r="BT331" s="491">
        <f>SUM(L331:BO331)</f>
        <v>0</v>
      </c>
      <c r="BU331" s="492"/>
      <c r="BV331" s="101"/>
      <c r="BW331" s="398"/>
      <c r="BZ331" s="411"/>
      <c r="CA331" s="411"/>
    </row>
    <row r="332" spans="1:79" ht="12.75" customHeight="1" x14ac:dyDescent="0.3">
      <c r="A332" s="388"/>
      <c r="B332" s="388"/>
      <c r="D332" s="398"/>
      <c r="F332" s="388"/>
      <c r="G332" s="101"/>
      <c r="H332" s="101"/>
      <c r="I332" s="101"/>
      <c r="J332" s="487"/>
      <c r="K332" s="101"/>
      <c r="L332" s="101"/>
      <c r="M332" s="101"/>
      <c r="N332" s="101"/>
      <c r="O332" s="487"/>
      <c r="P332" s="101"/>
      <c r="Q332" s="101"/>
      <c r="R332" s="101"/>
      <c r="S332" s="101"/>
      <c r="T332" s="487"/>
      <c r="U332" s="101"/>
      <c r="V332" s="101"/>
      <c r="W332" s="101"/>
      <c r="X332" s="101"/>
      <c r="Y332" s="487"/>
      <c r="Z332" s="101"/>
      <c r="AA332" s="101"/>
      <c r="AB332" s="101"/>
      <c r="AC332" s="101"/>
      <c r="AD332" s="487"/>
      <c r="AE332" s="101"/>
      <c r="AF332" s="101"/>
      <c r="AG332" s="101"/>
      <c r="AH332" s="101"/>
      <c r="AI332" s="487"/>
      <c r="AJ332" s="101"/>
      <c r="AK332" s="101"/>
      <c r="AL332" s="101"/>
      <c r="AM332" s="101"/>
      <c r="AN332" s="487"/>
      <c r="AO332" s="101"/>
      <c r="AP332" s="101"/>
      <c r="AQ332" s="101"/>
      <c r="AR332" s="101"/>
      <c r="AS332" s="487"/>
      <c r="AT332" s="101"/>
      <c r="AU332" s="101"/>
      <c r="AV332" s="101"/>
      <c r="AW332" s="101"/>
      <c r="AX332" s="487"/>
      <c r="AY332" s="101"/>
      <c r="AZ332" s="101"/>
      <c r="BA332" s="101"/>
      <c r="BB332" s="101"/>
      <c r="BC332" s="487"/>
      <c r="BD332" s="101"/>
      <c r="BE332" s="101"/>
      <c r="BF332" s="101"/>
      <c r="BG332" s="101"/>
      <c r="BH332" s="487"/>
      <c r="BI332" s="101"/>
      <c r="BJ332" s="101"/>
      <c r="BK332" s="101"/>
      <c r="BL332" s="101"/>
      <c r="BM332" s="487"/>
      <c r="BN332" s="101"/>
      <c r="BO332" s="101"/>
      <c r="BP332" s="101"/>
      <c r="BQ332" s="101"/>
      <c r="BR332" s="487"/>
      <c r="BS332" s="101"/>
      <c r="BT332" s="101"/>
      <c r="BU332" s="101"/>
      <c r="BV332" s="101"/>
      <c r="BW332" s="398"/>
      <c r="BZ332" s="411"/>
      <c r="CA332" s="411"/>
    </row>
    <row r="333" spans="1:79" x14ac:dyDescent="0.3">
      <c r="A333" s="388"/>
      <c r="B333" s="388"/>
      <c r="D333" s="398" t="s">
        <v>394</v>
      </c>
      <c r="F333" s="388"/>
      <c r="G333" s="101">
        <f>SUM(G334:G334)</f>
        <v>0</v>
      </c>
      <c r="H333" s="101"/>
      <c r="I333" s="101"/>
      <c r="J333" s="487"/>
      <c r="K333" s="388"/>
      <c r="L333" s="101">
        <f>SUM(L334)</f>
        <v>0</v>
      </c>
      <c r="M333" s="101"/>
      <c r="N333" s="101"/>
      <c r="O333" s="487"/>
      <c r="P333" s="388"/>
      <c r="Q333" s="101">
        <f>SUM(Q334)</f>
        <v>0</v>
      </c>
      <c r="R333" s="101"/>
      <c r="S333" s="101"/>
      <c r="T333" s="487"/>
      <c r="U333" s="388"/>
      <c r="V333" s="101">
        <f>SUM(V334)</f>
        <v>0</v>
      </c>
      <c r="W333" s="101"/>
      <c r="X333" s="101"/>
      <c r="Y333" s="487"/>
      <c r="Z333" s="388"/>
      <c r="AA333" s="101">
        <f>SUM(AA334)</f>
        <v>0</v>
      </c>
      <c r="AB333" s="101"/>
      <c r="AC333" s="101"/>
      <c r="AD333" s="487"/>
      <c r="AE333" s="388"/>
      <c r="AF333" s="101">
        <f>SUM(AF334)</f>
        <v>0</v>
      </c>
      <c r="AG333" s="101"/>
      <c r="AH333" s="101"/>
      <c r="AI333" s="487"/>
      <c r="AJ333" s="388"/>
      <c r="AK333" s="101">
        <f>SUM(AK334)</f>
        <v>0</v>
      </c>
      <c r="AL333" s="101"/>
      <c r="AM333" s="101"/>
      <c r="AN333" s="487"/>
      <c r="AO333" s="388"/>
      <c r="AP333" s="101">
        <f>SUM(AP334)</f>
        <v>0</v>
      </c>
      <c r="AQ333" s="101"/>
      <c r="AR333" s="101"/>
      <c r="AS333" s="487"/>
      <c r="AT333" s="388"/>
      <c r="AU333" s="101">
        <f>SUM(AU334)</f>
        <v>0</v>
      </c>
      <c r="AV333" s="101"/>
      <c r="AW333" s="101"/>
      <c r="AX333" s="487"/>
      <c r="AY333" s="388"/>
      <c r="AZ333" s="101">
        <f>SUM(AZ334)</f>
        <v>0</v>
      </c>
      <c r="BA333" s="101"/>
      <c r="BB333" s="101"/>
      <c r="BC333" s="487"/>
      <c r="BD333" s="388"/>
      <c r="BE333" s="101">
        <f>SUM(BE334)</f>
        <v>0</v>
      </c>
      <c r="BF333" s="101"/>
      <c r="BG333" s="101"/>
      <c r="BH333" s="487"/>
      <c r="BI333" s="388"/>
      <c r="BJ333" s="101">
        <f>SUM(BJ334)</f>
        <v>0</v>
      </c>
      <c r="BK333" s="101"/>
      <c r="BL333" s="101"/>
      <c r="BM333" s="487"/>
      <c r="BN333" s="388"/>
      <c r="BO333" s="101">
        <f>SUM(BO334)</f>
        <v>0</v>
      </c>
      <c r="BP333" s="101"/>
      <c r="BQ333" s="101"/>
      <c r="BR333" s="487"/>
      <c r="BS333" s="388"/>
      <c r="BT333" s="101">
        <f>SUM(BT334:BT334)</f>
        <v>0</v>
      </c>
      <c r="BU333" s="101"/>
      <c r="BV333" s="101"/>
      <c r="BW333" s="398"/>
      <c r="BZ333" s="411"/>
      <c r="CA333" s="411"/>
    </row>
    <row r="334" spans="1:79" x14ac:dyDescent="0.3">
      <c r="A334" s="388"/>
      <c r="B334" s="388"/>
      <c r="D334" s="398" t="s">
        <v>373</v>
      </c>
      <c r="F334" s="490"/>
      <c r="G334" s="491">
        <v>0</v>
      </c>
      <c r="H334" s="492"/>
      <c r="I334" s="101"/>
      <c r="J334" s="487"/>
      <c r="K334" s="490"/>
      <c r="L334" s="491">
        <v>0</v>
      </c>
      <c r="M334" s="492"/>
      <c r="N334" s="101"/>
      <c r="O334" s="487"/>
      <c r="P334" s="490"/>
      <c r="Q334" s="491">
        <v>0</v>
      </c>
      <c r="R334" s="492"/>
      <c r="S334" s="101"/>
      <c r="T334" s="487"/>
      <c r="U334" s="490"/>
      <c r="V334" s="491">
        <v>0</v>
      </c>
      <c r="W334" s="492"/>
      <c r="X334" s="101"/>
      <c r="Y334" s="487"/>
      <c r="Z334" s="490"/>
      <c r="AA334" s="491">
        <v>0</v>
      </c>
      <c r="AB334" s="492"/>
      <c r="AC334" s="101"/>
      <c r="AD334" s="487"/>
      <c r="AE334" s="490"/>
      <c r="AF334" s="491">
        <v>0</v>
      </c>
      <c r="AG334" s="492"/>
      <c r="AH334" s="101"/>
      <c r="AI334" s="487"/>
      <c r="AJ334" s="490"/>
      <c r="AK334" s="491">
        <v>0</v>
      </c>
      <c r="AL334" s="492"/>
      <c r="AM334" s="101"/>
      <c r="AN334" s="487"/>
      <c r="AO334" s="490"/>
      <c r="AP334" s="491">
        <v>0</v>
      </c>
      <c r="AQ334" s="492"/>
      <c r="AR334" s="101"/>
      <c r="AS334" s="487"/>
      <c r="AT334" s="490"/>
      <c r="AU334" s="491">
        <v>0</v>
      </c>
      <c r="AV334" s="492"/>
      <c r="AW334" s="101"/>
      <c r="AX334" s="487"/>
      <c r="AY334" s="490"/>
      <c r="AZ334" s="491">
        <v>0</v>
      </c>
      <c r="BA334" s="492"/>
      <c r="BB334" s="101"/>
      <c r="BC334" s="487"/>
      <c r="BD334" s="490"/>
      <c r="BE334" s="491">
        <v>0</v>
      </c>
      <c r="BF334" s="492"/>
      <c r="BG334" s="101"/>
      <c r="BH334" s="487"/>
      <c r="BI334" s="490"/>
      <c r="BJ334" s="491">
        <v>0</v>
      </c>
      <c r="BK334" s="492"/>
      <c r="BL334" s="101"/>
      <c r="BM334" s="487"/>
      <c r="BN334" s="490"/>
      <c r="BO334" s="491">
        <v>0</v>
      </c>
      <c r="BP334" s="492"/>
      <c r="BQ334" s="101"/>
      <c r="BR334" s="487"/>
      <c r="BS334" s="490"/>
      <c r="BT334" s="491">
        <f>SUM(L334:BO334)</f>
        <v>0</v>
      </c>
      <c r="BU334" s="492"/>
      <c r="BV334" s="101"/>
      <c r="BW334" s="398"/>
      <c r="BZ334" s="411"/>
      <c r="CA334" s="411"/>
    </row>
    <row r="335" spans="1:79" x14ac:dyDescent="0.3">
      <c r="A335" s="388"/>
      <c r="B335" s="388"/>
      <c r="D335" s="398"/>
      <c r="F335" s="388"/>
      <c r="G335" s="101"/>
      <c r="H335" s="101"/>
      <c r="I335" s="101"/>
      <c r="J335" s="487"/>
      <c r="K335" s="101"/>
      <c r="L335" s="101"/>
      <c r="M335" s="101"/>
      <c r="N335" s="101"/>
      <c r="O335" s="487"/>
      <c r="P335" s="101"/>
      <c r="Q335" s="101"/>
      <c r="R335" s="101"/>
      <c r="S335" s="101"/>
      <c r="T335" s="487"/>
      <c r="U335" s="101"/>
      <c r="V335" s="101"/>
      <c r="W335" s="101"/>
      <c r="X335" s="101"/>
      <c r="Y335" s="487"/>
      <c r="Z335" s="101"/>
      <c r="AA335" s="101"/>
      <c r="AB335" s="101"/>
      <c r="AC335" s="101"/>
      <c r="AD335" s="487"/>
      <c r="AE335" s="101"/>
      <c r="AF335" s="101"/>
      <c r="AG335" s="101"/>
      <c r="AH335" s="101"/>
      <c r="AI335" s="487"/>
      <c r="AJ335" s="101"/>
      <c r="AK335" s="101"/>
      <c r="AL335" s="101"/>
      <c r="AM335" s="101"/>
      <c r="AN335" s="487"/>
      <c r="AO335" s="101"/>
      <c r="AP335" s="101"/>
      <c r="AQ335" s="101"/>
      <c r="AR335" s="101"/>
      <c r="AS335" s="487"/>
      <c r="AT335" s="101"/>
      <c r="AU335" s="101"/>
      <c r="AV335" s="101"/>
      <c r="AW335" s="101"/>
      <c r="AX335" s="487"/>
      <c r="AY335" s="101"/>
      <c r="AZ335" s="101"/>
      <c r="BA335" s="101"/>
      <c r="BB335" s="101"/>
      <c r="BC335" s="487"/>
      <c r="BD335" s="101"/>
      <c r="BE335" s="101"/>
      <c r="BF335" s="101"/>
      <c r="BG335" s="101"/>
      <c r="BH335" s="487"/>
      <c r="BI335" s="101"/>
      <c r="BJ335" s="101"/>
      <c r="BK335" s="101"/>
      <c r="BL335" s="101"/>
      <c r="BM335" s="487"/>
      <c r="BN335" s="101"/>
      <c r="BO335" s="101"/>
      <c r="BP335" s="101"/>
      <c r="BQ335" s="101"/>
      <c r="BR335" s="487"/>
      <c r="BS335" s="101"/>
      <c r="BT335" s="101"/>
      <c r="BU335" s="101"/>
      <c r="BV335" s="101"/>
      <c r="BW335" s="398"/>
      <c r="BZ335" s="411"/>
      <c r="CA335" s="411"/>
    </row>
    <row r="336" spans="1:79" x14ac:dyDescent="0.3">
      <c r="A336" s="388"/>
      <c r="B336" s="388"/>
      <c r="D336" s="398" t="s">
        <v>387</v>
      </c>
      <c r="G336" s="38">
        <f>SUM(G337:G337)</f>
        <v>18552</v>
      </c>
      <c r="I336" s="101"/>
      <c r="J336" s="487"/>
      <c r="K336" s="101"/>
      <c r="L336" s="101">
        <f>SUM(L337:L337)</f>
        <v>0</v>
      </c>
      <c r="M336" s="101"/>
      <c r="N336" s="101"/>
      <c r="O336" s="487"/>
      <c r="P336" s="101"/>
      <c r="Q336" s="101">
        <f>SUM(Q337:Q337)</f>
        <v>0</v>
      </c>
      <c r="R336" s="101"/>
      <c r="S336" s="101"/>
      <c r="T336" s="487"/>
      <c r="U336" s="101"/>
      <c r="V336" s="101">
        <f>SUM(V337:V337)</f>
        <v>0</v>
      </c>
      <c r="W336" s="101"/>
      <c r="X336" s="101"/>
      <c r="Y336" s="487"/>
      <c r="Z336" s="101"/>
      <c r="AA336" s="101">
        <f>SUM(AA337:AA337)</f>
        <v>0</v>
      </c>
      <c r="AB336" s="101"/>
      <c r="AC336" s="101"/>
      <c r="AD336" s="487"/>
      <c r="AE336" s="101"/>
      <c r="AF336" s="101">
        <f>SUM(AF337:AF337)</f>
        <v>0</v>
      </c>
      <c r="AG336" s="101"/>
      <c r="AH336" s="101"/>
      <c r="AI336" s="487"/>
      <c r="AJ336" s="101"/>
      <c r="AK336" s="101">
        <f>SUM(AK337:AK337)</f>
        <v>18552</v>
      </c>
      <c r="AL336" s="101"/>
      <c r="AM336" s="101"/>
      <c r="AN336" s="487"/>
      <c r="AO336" s="101"/>
      <c r="AP336" s="101">
        <f>SUM(AP337:AP337)</f>
        <v>0</v>
      </c>
      <c r="AQ336" s="101"/>
      <c r="AR336" s="101"/>
      <c r="AS336" s="487"/>
      <c r="AT336" s="101"/>
      <c r="AU336" s="101">
        <f>SUM(AU337:AU337)</f>
        <v>0</v>
      </c>
      <c r="AV336" s="101"/>
      <c r="AW336" s="101"/>
      <c r="AX336" s="487"/>
      <c r="AY336" s="101"/>
      <c r="AZ336" s="101">
        <f>SUM(AZ337:AZ337)</f>
        <v>0</v>
      </c>
      <c r="BA336" s="101"/>
      <c r="BB336" s="101"/>
      <c r="BC336" s="487"/>
      <c r="BD336" s="101"/>
      <c r="BE336" s="101">
        <f>SUM(BE337:BE337)</f>
        <v>0</v>
      </c>
      <c r="BF336" s="101"/>
      <c r="BG336" s="101"/>
      <c r="BH336" s="487"/>
      <c r="BI336" s="101"/>
      <c r="BJ336" s="101">
        <f>SUM(BJ337:BJ337)</f>
        <v>0</v>
      </c>
      <c r="BK336" s="101"/>
      <c r="BL336" s="101"/>
      <c r="BM336" s="487"/>
      <c r="BN336" s="101"/>
      <c r="BO336" s="101">
        <f>SUM(BO337:BO337)</f>
        <v>0</v>
      </c>
      <c r="BP336" s="101"/>
      <c r="BQ336" s="101"/>
      <c r="BR336" s="487"/>
      <c r="BS336" s="101"/>
      <c r="BT336" s="101">
        <f>SUM(BT337:BT337)</f>
        <v>18552</v>
      </c>
      <c r="BU336" s="101"/>
      <c r="BV336" s="101"/>
      <c r="BW336" s="398"/>
      <c r="BZ336" s="411"/>
      <c r="CA336" s="411"/>
    </row>
    <row r="337" spans="1:79" x14ac:dyDescent="0.3">
      <c r="A337" s="388"/>
      <c r="B337" s="388"/>
      <c r="D337" s="398" t="s">
        <v>373</v>
      </c>
      <c r="F337" s="490"/>
      <c r="G337" s="491">
        <v>18552</v>
      </c>
      <c r="H337" s="492"/>
      <c r="I337" s="101"/>
      <c r="J337" s="487"/>
      <c r="K337" s="490"/>
      <c r="L337" s="491">
        <v>0</v>
      </c>
      <c r="M337" s="492"/>
      <c r="N337" s="101"/>
      <c r="O337" s="487"/>
      <c r="P337" s="490"/>
      <c r="Q337" s="491">
        <v>0</v>
      </c>
      <c r="R337" s="492"/>
      <c r="S337" s="101"/>
      <c r="T337" s="487"/>
      <c r="U337" s="490"/>
      <c r="V337" s="491">
        <v>0</v>
      </c>
      <c r="W337" s="492"/>
      <c r="X337" s="101"/>
      <c r="Y337" s="487"/>
      <c r="Z337" s="490"/>
      <c r="AA337" s="491">
        <v>0</v>
      </c>
      <c r="AB337" s="492"/>
      <c r="AC337" s="101"/>
      <c r="AD337" s="487"/>
      <c r="AE337" s="490"/>
      <c r="AF337" s="491">
        <v>0</v>
      </c>
      <c r="AG337" s="492"/>
      <c r="AH337" s="101"/>
      <c r="AI337" s="487"/>
      <c r="AJ337" s="490"/>
      <c r="AK337" s="491">
        <v>18552</v>
      </c>
      <c r="AL337" s="492"/>
      <c r="AM337" s="101"/>
      <c r="AN337" s="487"/>
      <c r="AO337" s="490"/>
      <c r="AP337" s="491">
        <v>0</v>
      </c>
      <c r="AQ337" s="492"/>
      <c r="AR337" s="101"/>
      <c r="AS337" s="487"/>
      <c r="AT337" s="490"/>
      <c r="AU337" s="491">
        <v>0</v>
      </c>
      <c r="AV337" s="492"/>
      <c r="AW337" s="101"/>
      <c r="AX337" s="487"/>
      <c r="AY337" s="490"/>
      <c r="AZ337" s="491">
        <v>0</v>
      </c>
      <c r="BA337" s="492"/>
      <c r="BB337" s="101"/>
      <c r="BC337" s="487"/>
      <c r="BD337" s="490"/>
      <c r="BE337" s="491">
        <v>0</v>
      </c>
      <c r="BF337" s="492"/>
      <c r="BG337" s="101"/>
      <c r="BH337" s="487"/>
      <c r="BI337" s="490"/>
      <c r="BJ337" s="491">
        <v>0</v>
      </c>
      <c r="BK337" s="492"/>
      <c r="BL337" s="101"/>
      <c r="BM337" s="487"/>
      <c r="BN337" s="490"/>
      <c r="BO337" s="491">
        <v>0</v>
      </c>
      <c r="BP337" s="492"/>
      <c r="BQ337" s="101"/>
      <c r="BR337" s="487"/>
      <c r="BS337" s="490"/>
      <c r="BT337" s="491">
        <f>SUM(L337:BO337)</f>
        <v>18552</v>
      </c>
      <c r="BU337" s="492"/>
      <c r="BV337" s="101"/>
      <c r="BW337" s="398"/>
      <c r="BZ337" s="411"/>
      <c r="CA337" s="411"/>
    </row>
    <row r="338" spans="1:79" x14ac:dyDescent="0.3">
      <c r="A338" s="388"/>
      <c r="B338" s="388"/>
      <c r="D338" s="398"/>
      <c r="F338" s="388"/>
      <c r="G338" s="101"/>
      <c r="H338" s="101"/>
      <c r="I338" s="101"/>
      <c r="J338" s="487"/>
      <c r="K338" s="388"/>
      <c r="L338" s="101"/>
      <c r="M338" s="101"/>
      <c r="N338" s="101"/>
      <c r="O338" s="487"/>
      <c r="P338" s="388"/>
      <c r="Q338" s="101"/>
      <c r="R338" s="101"/>
      <c r="S338" s="101"/>
      <c r="T338" s="487"/>
      <c r="U338" s="388"/>
      <c r="V338" s="101"/>
      <c r="W338" s="101"/>
      <c r="X338" s="101"/>
      <c r="Y338" s="487"/>
      <c r="Z338" s="388"/>
      <c r="AA338" s="101"/>
      <c r="AB338" s="101"/>
      <c r="AC338" s="101"/>
      <c r="AD338" s="487"/>
      <c r="AE338" s="388"/>
      <c r="AF338" s="101"/>
      <c r="AG338" s="101"/>
      <c r="AH338" s="101"/>
      <c r="AI338" s="487"/>
      <c r="AJ338" s="388"/>
      <c r="AK338" s="101"/>
      <c r="AL338" s="101"/>
      <c r="AM338" s="101"/>
      <c r="AN338" s="487"/>
      <c r="AO338" s="388"/>
      <c r="AP338" s="101"/>
      <c r="AQ338" s="101"/>
      <c r="AR338" s="101"/>
      <c r="AS338" s="487"/>
      <c r="AT338" s="388"/>
      <c r="AU338" s="101"/>
      <c r="AV338" s="101"/>
      <c r="AW338" s="101"/>
      <c r="AX338" s="487"/>
      <c r="AY338" s="388"/>
      <c r="AZ338" s="101"/>
      <c r="BA338" s="101"/>
      <c r="BB338" s="101"/>
      <c r="BC338" s="487"/>
      <c r="BD338" s="388"/>
      <c r="BE338" s="101"/>
      <c r="BF338" s="101"/>
      <c r="BG338" s="101"/>
      <c r="BH338" s="487"/>
      <c r="BI338" s="388"/>
      <c r="BJ338" s="101"/>
      <c r="BK338" s="101"/>
      <c r="BL338" s="101"/>
      <c r="BM338" s="487"/>
      <c r="BN338" s="388"/>
      <c r="BO338" s="101"/>
      <c r="BP338" s="101"/>
      <c r="BQ338" s="101"/>
      <c r="BR338" s="487"/>
      <c r="BS338" s="388"/>
      <c r="BT338" s="101"/>
      <c r="BU338" s="101"/>
      <c r="BV338" s="101"/>
      <c r="BW338" s="398"/>
      <c r="BZ338" s="411"/>
      <c r="CA338" s="411"/>
    </row>
    <row r="339" spans="1:79" x14ac:dyDescent="0.3">
      <c r="A339" s="388"/>
      <c r="B339" s="388"/>
      <c r="D339" s="398" t="s">
        <v>403</v>
      </c>
      <c r="G339" s="38">
        <f>SUM(G340:G340)</f>
        <v>0</v>
      </c>
      <c r="I339" s="101"/>
      <c r="J339" s="487"/>
      <c r="K339" s="101"/>
      <c r="L339" s="101">
        <f>SUM(L340:L340)</f>
        <v>0</v>
      </c>
      <c r="M339" s="101"/>
      <c r="N339" s="101"/>
      <c r="O339" s="487"/>
      <c r="P339" s="101"/>
      <c r="Q339" s="101">
        <f>SUM(Q340:Q340)</f>
        <v>0</v>
      </c>
      <c r="R339" s="101"/>
      <c r="S339" s="101"/>
      <c r="T339" s="487"/>
      <c r="U339" s="101"/>
      <c r="V339" s="101">
        <f>SUM(V340:V340)</f>
        <v>0</v>
      </c>
      <c r="W339" s="101"/>
      <c r="X339" s="101"/>
      <c r="Y339" s="487"/>
      <c r="Z339" s="101"/>
      <c r="AA339" s="101">
        <f>SUM(AA340:AA340)</f>
        <v>0</v>
      </c>
      <c r="AB339" s="101"/>
      <c r="AC339" s="101"/>
      <c r="AD339" s="487"/>
      <c r="AE339" s="101"/>
      <c r="AF339" s="101">
        <f>SUM(AF340:AF340)</f>
        <v>0</v>
      </c>
      <c r="AG339" s="101"/>
      <c r="AH339" s="101"/>
      <c r="AI339" s="487"/>
      <c r="AJ339" s="101"/>
      <c r="AK339" s="101">
        <f>SUM(AK340:AK340)</f>
        <v>0</v>
      </c>
      <c r="AL339" s="101"/>
      <c r="AM339" s="101"/>
      <c r="AN339" s="487"/>
      <c r="AO339" s="101"/>
      <c r="AP339" s="101">
        <f>SUM(AP340:AP340)</f>
        <v>0</v>
      </c>
      <c r="AQ339" s="101"/>
      <c r="AR339" s="101"/>
      <c r="AS339" s="487"/>
      <c r="AT339" s="101"/>
      <c r="AU339" s="101">
        <f>SUM(AU340:AU340)</f>
        <v>0</v>
      </c>
      <c r="AV339" s="101"/>
      <c r="AW339" s="101"/>
      <c r="AX339" s="487"/>
      <c r="AY339" s="101"/>
      <c r="AZ339" s="101">
        <f>SUM(AZ340:AZ340)</f>
        <v>0</v>
      </c>
      <c r="BA339" s="101"/>
      <c r="BB339" s="101"/>
      <c r="BC339" s="487"/>
      <c r="BD339" s="101"/>
      <c r="BE339" s="101">
        <f>SUM(BE340:BE340)</f>
        <v>0</v>
      </c>
      <c r="BF339" s="101"/>
      <c r="BG339" s="101"/>
      <c r="BH339" s="487"/>
      <c r="BI339" s="101"/>
      <c r="BJ339" s="101">
        <f>SUM(BJ340:BJ340)</f>
        <v>0</v>
      </c>
      <c r="BK339" s="101"/>
      <c r="BL339" s="101"/>
      <c r="BM339" s="487"/>
      <c r="BN339" s="101"/>
      <c r="BO339" s="101">
        <f>SUM(BO340:BO340)</f>
        <v>0</v>
      </c>
      <c r="BP339" s="101"/>
      <c r="BQ339" s="101"/>
      <c r="BR339" s="487"/>
      <c r="BS339" s="388"/>
      <c r="BT339" s="101">
        <f>SUM(BT340:BT340)</f>
        <v>0</v>
      </c>
      <c r="BU339" s="101"/>
      <c r="BV339" s="101"/>
      <c r="BW339" s="398"/>
      <c r="BZ339" s="411"/>
      <c r="CA339" s="411"/>
    </row>
    <row r="340" spans="1:79" x14ac:dyDescent="0.3">
      <c r="A340" s="388"/>
      <c r="B340" s="388"/>
      <c r="D340" s="398" t="s">
        <v>373</v>
      </c>
      <c r="F340" s="490"/>
      <c r="G340" s="491">
        <v>0</v>
      </c>
      <c r="H340" s="492"/>
      <c r="I340" s="101"/>
      <c r="J340" s="487"/>
      <c r="K340" s="490"/>
      <c r="L340" s="491">
        <v>0</v>
      </c>
      <c r="M340" s="492"/>
      <c r="N340" s="101"/>
      <c r="O340" s="487"/>
      <c r="P340" s="490"/>
      <c r="Q340" s="491">
        <v>0</v>
      </c>
      <c r="R340" s="492"/>
      <c r="S340" s="101"/>
      <c r="T340" s="487"/>
      <c r="U340" s="490"/>
      <c r="V340" s="491">
        <v>0</v>
      </c>
      <c r="W340" s="492"/>
      <c r="X340" s="101"/>
      <c r="Y340" s="487"/>
      <c r="Z340" s="490"/>
      <c r="AA340" s="491">
        <v>0</v>
      </c>
      <c r="AB340" s="492"/>
      <c r="AC340" s="101"/>
      <c r="AD340" s="487"/>
      <c r="AE340" s="490"/>
      <c r="AF340" s="491">
        <v>0</v>
      </c>
      <c r="AG340" s="492"/>
      <c r="AH340" s="101"/>
      <c r="AI340" s="487"/>
      <c r="AJ340" s="490"/>
      <c r="AK340" s="491">
        <v>0</v>
      </c>
      <c r="AL340" s="492"/>
      <c r="AM340" s="101"/>
      <c r="AN340" s="487"/>
      <c r="AO340" s="490"/>
      <c r="AP340" s="491">
        <v>0</v>
      </c>
      <c r="AQ340" s="492"/>
      <c r="AR340" s="101"/>
      <c r="AS340" s="487"/>
      <c r="AT340" s="490"/>
      <c r="AU340" s="491">
        <v>0</v>
      </c>
      <c r="AV340" s="492"/>
      <c r="AW340" s="101"/>
      <c r="AX340" s="487"/>
      <c r="AY340" s="490"/>
      <c r="AZ340" s="491">
        <v>0</v>
      </c>
      <c r="BA340" s="492"/>
      <c r="BB340" s="101"/>
      <c r="BC340" s="487"/>
      <c r="BD340" s="490"/>
      <c r="BE340" s="491">
        <v>0</v>
      </c>
      <c r="BF340" s="492"/>
      <c r="BG340" s="101"/>
      <c r="BH340" s="487"/>
      <c r="BI340" s="490"/>
      <c r="BJ340" s="491">
        <v>0</v>
      </c>
      <c r="BK340" s="492"/>
      <c r="BL340" s="101"/>
      <c r="BM340" s="487"/>
      <c r="BN340" s="490"/>
      <c r="BO340" s="491">
        <v>0</v>
      </c>
      <c r="BP340" s="492"/>
      <c r="BQ340" s="101"/>
      <c r="BR340" s="487"/>
      <c r="BS340" s="490"/>
      <c r="BT340" s="491">
        <f>SUM(L340:BO340)</f>
        <v>0</v>
      </c>
      <c r="BU340" s="492"/>
      <c r="BV340" s="101"/>
      <c r="BW340" s="398"/>
      <c r="BZ340" s="411"/>
      <c r="CA340" s="411"/>
    </row>
    <row r="341" spans="1:79" x14ac:dyDescent="0.3">
      <c r="A341" s="388"/>
      <c r="B341" s="388"/>
      <c r="D341" s="398"/>
      <c r="F341" s="388"/>
      <c r="G341" s="101"/>
      <c r="H341" s="101"/>
      <c r="I341" s="101"/>
      <c r="J341" s="487"/>
      <c r="K341" s="388"/>
      <c r="L341" s="101"/>
      <c r="M341" s="101"/>
      <c r="N341" s="101"/>
      <c r="O341" s="487"/>
      <c r="P341" s="388"/>
      <c r="Q341" s="101"/>
      <c r="R341" s="101"/>
      <c r="S341" s="101"/>
      <c r="T341" s="487"/>
      <c r="U341" s="388"/>
      <c r="V341" s="101"/>
      <c r="W341" s="101"/>
      <c r="X341" s="101"/>
      <c r="Y341" s="487"/>
      <c r="Z341" s="388"/>
      <c r="AA341" s="101"/>
      <c r="AB341" s="101"/>
      <c r="AC341" s="101"/>
      <c r="AD341" s="487"/>
      <c r="AE341" s="388"/>
      <c r="AF341" s="101"/>
      <c r="AG341" s="101"/>
      <c r="AH341" s="101"/>
      <c r="AI341" s="487"/>
      <c r="AJ341" s="388"/>
      <c r="AK341" s="101"/>
      <c r="AL341" s="101"/>
      <c r="AM341" s="101"/>
      <c r="AN341" s="487"/>
      <c r="AO341" s="388"/>
      <c r="AP341" s="101"/>
      <c r="AQ341" s="101"/>
      <c r="AR341" s="101"/>
      <c r="AS341" s="487"/>
      <c r="AT341" s="388"/>
      <c r="AU341" s="101"/>
      <c r="AV341" s="101"/>
      <c r="AW341" s="101"/>
      <c r="AX341" s="487"/>
      <c r="AY341" s="388"/>
      <c r="AZ341" s="101"/>
      <c r="BA341" s="101"/>
      <c r="BB341" s="101"/>
      <c r="BC341" s="487"/>
      <c r="BD341" s="388"/>
      <c r="BE341" s="101"/>
      <c r="BF341" s="101"/>
      <c r="BG341" s="101"/>
      <c r="BH341" s="487"/>
      <c r="BI341" s="388"/>
      <c r="BJ341" s="101"/>
      <c r="BK341" s="101"/>
      <c r="BL341" s="101"/>
      <c r="BM341" s="487"/>
      <c r="BN341" s="388"/>
      <c r="BO341" s="101"/>
      <c r="BP341" s="101"/>
      <c r="BQ341" s="101"/>
      <c r="BR341" s="487"/>
      <c r="BS341" s="388"/>
      <c r="BT341" s="101"/>
      <c r="BU341" s="101"/>
      <c r="BV341" s="101"/>
      <c r="BW341" s="398"/>
      <c r="BZ341" s="411"/>
      <c r="CA341" s="411"/>
    </row>
    <row r="342" spans="1:79" ht="12.75" customHeight="1" x14ac:dyDescent="0.3">
      <c r="A342" s="388"/>
      <c r="B342" s="388"/>
      <c r="D342" s="398" t="s">
        <v>439</v>
      </c>
      <c r="G342" s="38">
        <f>SUM(G343)</f>
        <v>0</v>
      </c>
      <c r="I342" s="101"/>
      <c r="J342" s="487"/>
      <c r="K342" s="101"/>
      <c r="L342" s="101">
        <f>SUM(L343:L343)</f>
        <v>0</v>
      </c>
      <c r="M342" s="101"/>
      <c r="N342" s="101"/>
      <c r="O342" s="487"/>
      <c r="P342" s="101"/>
      <c r="Q342" s="101">
        <f>SUM(Q343:Q343)</f>
        <v>0</v>
      </c>
      <c r="R342" s="101"/>
      <c r="S342" s="101"/>
      <c r="T342" s="487"/>
      <c r="U342" s="101"/>
      <c r="V342" s="101">
        <f>SUM(V343:V343)</f>
        <v>0</v>
      </c>
      <c r="W342" s="101"/>
      <c r="X342" s="101"/>
      <c r="Y342" s="487"/>
      <c r="Z342" s="101"/>
      <c r="AA342" s="101">
        <f>SUM(AA343:AA343)</f>
        <v>0</v>
      </c>
      <c r="AB342" s="101"/>
      <c r="AC342" s="101"/>
      <c r="AD342" s="487"/>
      <c r="AE342" s="101"/>
      <c r="AF342" s="101">
        <f>SUM(AF343:AF343)</f>
        <v>0</v>
      </c>
      <c r="AG342" s="101"/>
      <c r="AH342" s="101"/>
      <c r="AI342" s="487"/>
      <c r="AJ342" s="101"/>
      <c r="AK342" s="101">
        <f>SUM(AK343:AK343)</f>
        <v>0</v>
      </c>
      <c r="AL342" s="101"/>
      <c r="AM342" s="101"/>
      <c r="AN342" s="487"/>
      <c r="AO342" s="101"/>
      <c r="AP342" s="101">
        <f>SUM(AP343:AP343)</f>
        <v>0</v>
      </c>
      <c r="AQ342" s="101"/>
      <c r="AR342" s="101"/>
      <c r="AS342" s="487"/>
      <c r="AT342" s="101"/>
      <c r="AU342" s="101">
        <f>SUM(AU343:AU343)</f>
        <v>0</v>
      </c>
      <c r="AV342" s="101"/>
      <c r="AW342" s="101"/>
      <c r="AX342" s="487"/>
      <c r="AY342" s="101"/>
      <c r="AZ342" s="101">
        <f>SUM(AZ343:AZ343)</f>
        <v>0</v>
      </c>
      <c r="BA342" s="101"/>
      <c r="BB342" s="101"/>
      <c r="BC342" s="487"/>
      <c r="BD342" s="101"/>
      <c r="BE342" s="101">
        <f>SUM(BE343:BE343)</f>
        <v>0</v>
      </c>
      <c r="BF342" s="101"/>
      <c r="BG342" s="101"/>
      <c r="BH342" s="487"/>
      <c r="BI342" s="101"/>
      <c r="BJ342" s="101">
        <f>SUM(BJ343:BJ343)</f>
        <v>0</v>
      </c>
      <c r="BK342" s="101"/>
      <c r="BL342" s="101"/>
      <c r="BM342" s="487"/>
      <c r="BN342" s="101"/>
      <c r="BO342" s="101">
        <f>SUM(BO343:BO343)</f>
        <v>0</v>
      </c>
      <c r="BP342" s="101"/>
      <c r="BQ342" s="101"/>
      <c r="BR342" s="487"/>
      <c r="BS342" s="388"/>
      <c r="BT342" s="101">
        <f>SUM(BT343:BT343)</f>
        <v>0</v>
      </c>
      <c r="BU342" s="101"/>
      <c r="BV342" s="101"/>
      <c r="BW342" s="398"/>
      <c r="BZ342" s="411"/>
      <c r="CA342" s="411"/>
    </row>
    <row r="343" spans="1:79" ht="12.75" customHeight="1" x14ac:dyDescent="0.3">
      <c r="A343" s="388"/>
      <c r="B343" s="388"/>
      <c r="D343" s="398" t="s">
        <v>373</v>
      </c>
      <c r="F343" s="490"/>
      <c r="G343" s="491">
        <v>0</v>
      </c>
      <c r="H343" s="492"/>
      <c r="I343" s="101"/>
      <c r="J343" s="487"/>
      <c r="K343" s="490"/>
      <c r="L343" s="491">
        <v>0</v>
      </c>
      <c r="M343" s="492"/>
      <c r="N343" s="101"/>
      <c r="O343" s="487"/>
      <c r="P343" s="490"/>
      <c r="Q343" s="491">
        <v>0</v>
      </c>
      <c r="R343" s="492"/>
      <c r="S343" s="101"/>
      <c r="T343" s="487"/>
      <c r="U343" s="490"/>
      <c r="V343" s="491">
        <v>0</v>
      </c>
      <c r="W343" s="492"/>
      <c r="X343" s="101"/>
      <c r="Y343" s="487"/>
      <c r="Z343" s="490"/>
      <c r="AA343" s="491">
        <v>0</v>
      </c>
      <c r="AB343" s="492"/>
      <c r="AC343" s="101"/>
      <c r="AD343" s="487"/>
      <c r="AE343" s="490"/>
      <c r="AF343" s="491">
        <v>0</v>
      </c>
      <c r="AG343" s="492"/>
      <c r="AH343" s="101"/>
      <c r="AI343" s="487"/>
      <c r="AJ343" s="490"/>
      <c r="AK343" s="491">
        <v>0</v>
      </c>
      <c r="AL343" s="492"/>
      <c r="AM343" s="101"/>
      <c r="AN343" s="487"/>
      <c r="AO343" s="490"/>
      <c r="AP343" s="491">
        <v>0</v>
      </c>
      <c r="AQ343" s="492"/>
      <c r="AR343" s="101"/>
      <c r="AS343" s="487"/>
      <c r="AT343" s="490"/>
      <c r="AU343" s="491">
        <v>0</v>
      </c>
      <c r="AV343" s="492"/>
      <c r="AW343" s="101"/>
      <c r="AX343" s="487"/>
      <c r="AY343" s="490"/>
      <c r="AZ343" s="491">
        <v>0</v>
      </c>
      <c r="BA343" s="492"/>
      <c r="BB343" s="101"/>
      <c r="BC343" s="487"/>
      <c r="BD343" s="490"/>
      <c r="BE343" s="491">
        <v>0</v>
      </c>
      <c r="BF343" s="492"/>
      <c r="BG343" s="101"/>
      <c r="BH343" s="487"/>
      <c r="BI343" s="490"/>
      <c r="BJ343" s="491">
        <v>0</v>
      </c>
      <c r="BK343" s="492"/>
      <c r="BL343" s="101"/>
      <c r="BM343" s="487"/>
      <c r="BN343" s="490"/>
      <c r="BO343" s="491">
        <v>0</v>
      </c>
      <c r="BP343" s="492"/>
      <c r="BQ343" s="101"/>
      <c r="BR343" s="487"/>
      <c r="BS343" s="490"/>
      <c r="BT343" s="491">
        <f>SUM(L343:BO343)</f>
        <v>0</v>
      </c>
      <c r="BU343" s="492"/>
      <c r="BV343" s="101"/>
      <c r="BW343" s="398"/>
      <c r="BZ343" s="411"/>
      <c r="CA343" s="411"/>
    </row>
    <row r="344" spans="1:79" ht="12.75" customHeight="1" x14ac:dyDescent="0.3">
      <c r="A344" s="388"/>
      <c r="B344" s="388"/>
      <c r="D344" s="398"/>
      <c r="F344" s="388"/>
      <c r="G344" s="101"/>
      <c r="H344" s="101"/>
      <c r="I344" s="101"/>
      <c r="J344" s="487"/>
      <c r="K344" s="388"/>
      <c r="L344" s="101"/>
      <c r="M344" s="101"/>
      <c r="N344" s="101"/>
      <c r="O344" s="487"/>
      <c r="P344" s="388"/>
      <c r="Q344" s="101"/>
      <c r="R344" s="101"/>
      <c r="S344" s="101"/>
      <c r="T344" s="487"/>
      <c r="U344" s="388"/>
      <c r="V344" s="101"/>
      <c r="W344" s="101"/>
      <c r="X344" s="101"/>
      <c r="Y344" s="487"/>
      <c r="Z344" s="388"/>
      <c r="AA344" s="101"/>
      <c r="AB344" s="101"/>
      <c r="AC344" s="101"/>
      <c r="AD344" s="487"/>
      <c r="AE344" s="388"/>
      <c r="AF344" s="101"/>
      <c r="AG344" s="101"/>
      <c r="AH344" s="101"/>
      <c r="AI344" s="487"/>
      <c r="AJ344" s="388"/>
      <c r="AK344" s="101"/>
      <c r="AL344" s="101"/>
      <c r="AM344" s="101"/>
      <c r="AN344" s="487"/>
      <c r="AO344" s="388"/>
      <c r="AP344" s="101"/>
      <c r="AQ344" s="101"/>
      <c r="AR344" s="101"/>
      <c r="AS344" s="487"/>
      <c r="AT344" s="388"/>
      <c r="AU344" s="101"/>
      <c r="AV344" s="101"/>
      <c r="AW344" s="101"/>
      <c r="AX344" s="487"/>
      <c r="AY344" s="388"/>
      <c r="AZ344" s="101"/>
      <c r="BA344" s="101"/>
      <c r="BB344" s="101"/>
      <c r="BC344" s="487"/>
      <c r="BD344" s="388"/>
      <c r="BE344" s="101"/>
      <c r="BF344" s="101"/>
      <c r="BG344" s="101"/>
      <c r="BH344" s="487"/>
      <c r="BI344" s="388"/>
      <c r="BJ344" s="101"/>
      <c r="BK344" s="101"/>
      <c r="BL344" s="101"/>
      <c r="BM344" s="487"/>
      <c r="BN344" s="388"/>
      <c r="BO344" s="101"/>
      <c r="BP344" s="101"/>
      <c r="BQ344" s="101"/>
      <c r="BR344" s="487"/>
      <c r="BS344" s="388"/>
      <c r="BT344" s="101"/>
      <c r="BU344" s="101"/>
      <c r="BV344" s="101"/>
      <c r="BW344" s="398"/>
      <c r="BZ344" s="411"/>
      <c r="CA344" s="411"/>
    </row>
    <row r="345" spans="1:79" x14ac:dyDescent="0.3">
      <c r="A345" s="388"/>
      <c r="B345" s="388"/>
      <c r="D345" s="398" t="s">
        <v>401</v>
      </c>
      <c r="G345" s="38">
        <f>SUM(G346:G346)</f>
        <v>0</v>
      </c>
      <c r="I345" s="101"/>
      <c r="J345" s="487"/>
      <c r="K345" s="101"/>
      <c r="L345" s="101">
        <f>SUM(L346:L346)</f>
        <v>0</v>
      </c>
      <c r="M345" s="101"/>
      <c r="N345" s="101"/>
      <c r="O345" s="487"/>
      <c r="P345" s="101"/>
      <c r="Q345" s="101">
        <f>SUM(Q346:Q346)</f>
        <v>0</v>
      </c>
      <c r="R345" s="101"/>
      <c r="S345" s="101"/>
      <c r="T345" s="487"/>
      <c r="U345" s="101"/>
      <c r="V345" s="101">
        <f>SUM(V346:V346)</f>
        <v>0</v>
      </c>
      <c r="W345" s="101"/>
      <c r="X345" s="101"/>
      <c r="Y345" s="487"/>
      <c r="Z345" s="101"/>
      <c r="AA345" s="101">
        <f>SUM(AA346:AA346)</f>
        <v>0</v>
      </c>
      <c r="AB345" s="101"/>
      <c r="AC345" s="101"/>
      <c r="AD345" s="487"/>
      <c r="AE345" s="101"/>
      <c r="AF345" s="101">
        <f>SUM(AF346:AF346)</f>
        <v>0</v>
      </c>
      <c r="AG345" s="101"/>
      <c r="AH345" s="101"/>
      <c r="AI345" s="487"/>
      <c r="AJ345" s="101"/>
      <c r="AK345" s="101">
        <f>SUM(AK346:AK346)</f>
        <v>0</v>
      </c>
      <c r="AL345" s="101"/>
      <c r="AM345" s="101"/>
      <c r="AN345" s="487"/>
      <c r="AO345" s="101"/>
      <c r="AP345" s="101">
        <f>SUM(AP346:AP346)</f>
        <v>0</v>
      </c>
      <c r="AQ345" s="101"/>
      <c r="AR345" s="101"/>
      <c r="AS345" s="487"/>
      <c r="AT345" s="101"/>
      <c r="AU345" s="101">
        <f>SUM(AU346:AU346)</f>
        <v>0</v>
      </c>
      <c r="AV345" s="101"/>
      <c r="AW345" s="101"/>
      <c r="AX345" s="487"/>
      <c r="AY345" s="101"/>
      <c r="AZ345" s="101">
        <f>SUM(AZ346:AZ346)</f>
        <v>0</v>
      </c>
      <c r="BA345" s="101"/>
      <c r="BB345" s="101"/>
      <c r="BC345" s="487"/>
      <c r="BD345" s="101"/>
      <c r="BE345" s="101">
        <f>SUM(BE346:BE346)</f>
        <v>0</v>
      </c>
      <c r="BF345" s="101"/>
      <c r="BG345" s="101"/>
      <c r="BH345" s="487"/>
      <c r="BI345" s="101"/>
      <c r="BJ345" s="101">
        <f>SUM(BJ346:BJ346)</f>
        <v>0</v>
      </c>
      <c r="BK345" s="101"/>
      <c r="BL345" s="101"/>
      <c r="BM345" s="487"/>
      <c r="BN345" s="101"/>
      <c r="BO345" s="101">
        <f>SUM(BO346:BO346)</f>
        <v>0</v>
      </c>
      <c r="BP345" s="101"/>
      <c r="BQ345" s="101"/>
      <c r="BR345" s="487"/>
      <c r="BS345" s="388"/>
      <c r="BT345" s="101">
        <f>SUM(BT346:BT346)</f>
        <v>0</v>
      </c>
      <c r="BU345" s="101"/>
      <c r="BV345" s="101"/>
      <c r="BW345" s="398"/>
      <c r="BZ345" s="411"/>
      <c r="CA345" s="411"/>
    </row>
    <row r="346" spans="1:79" x14ac:dyDescent="0.3">
      <c r="A346" s="388"/>
      <c r="B346" s="388"/>
      <c r="D346" s="398" t="s">
        <v>373</v>
      </c>
      <c r="F346" s="490"/>
      <c r="G346" s="491">
        <v>0</v>
      </c>
      <c r="H346" s="492"/>
      <c r="I346" s="101"/>
      <c r="J346" s="487"/>
      <c r="K346" s="490"/>
      <c r="L346" s="491">
        <v>0</v>
      </c>
      <c r="M346" s="492"/>
      <c r="N346" s="101"/>
      <c r="O346" s="487"/>
      <c r="P346" s="490"/>
      <c r="Q346" s="491">
        <v>0</v>
      </c>
      <c r="R346" s="492"/>
      <c r="S346" s="101"/>
      <c r="T346" s="487"/>
      <c r="U346" s="490"/>
      <c r="V346" s="491">
        <v>0</v>
      </c>
      <c r="W346" s="492"/>
      <c r="X346" s="101"/>
      <c r="Y346" s="487"/>
      <c r="Z346" s="490"/>
      <c r="AA346" s="491">
        <v>0</v>
      </c>
      <c r="AB346" s="492"/>
      <c r="AC346" s="101"/>
      <c r="AD346" s="487"/>
      <c r="AE346" s="490"/>
      <c r="AF346" s="491">
        <v>0</v>
      </c>
      <c r="AG346" s="492"/>
      <c r="AH346" s="101"/>
      <c r="AI346" s="487"/>
      <c r="AJ346" s="490"/>
      <c r="AK346" s="491">
        <v>0</v>
      </c>
      <c r="AL346" s="492"/>
      <c r="AM346" s="101"/>
      <c r="AN346" s="487"/>
      <c r="AO346" s="490"/>
      <c r="AP346" s="491">
        <v>0</v>
      </c>
      <c r="AQ346" s="492"/>
      <c r="AR346" s="101"/>
      <c r="AS346" s="487"/>
      <c r="AT346" s="490"/>
      <c r="AU346" s="491">
        <v>0</v>
      </c>
      <c r="AV346" s="492"/>
      <c r="AW346" s="101"/>
      <c r="AX346" s="487"/>
      <c r="AY346" s="490"/>
      <c r="AZ346" s="491">
        <v>0</v>
      </c>
      <c r="BA346" s="492"/>
      <c r="BB346" s="101"/>
      <c r="BC346" s="487"/>
      <c r="BD346" s="490"/>
      <c r="BE346" s="491">
        <v>0</v>
      </c>
      <c r="BF346" s="492"/>
      <c r="BG346" s="101"/>
      <c r="BH346" s="487"/>
      <c r="BI346" s="490"/>
      <c r="BJ346" s="491">
        <v>0</v>
      </c>
      <c r="BK346" s="492"/>
      <c r="BL346" s="101"/>
      <c r="BM346" s="487"/>
      <c r="BN346" s="490"/>
      <c r="BO346" s="491">
        <v>0</v>
      </c>
      <c r="BP346" s="492"/>
      <c r="BQ346" s="101"/>
      <c r="BR346" s="487"/>
      <c r="BS346" s="490"/>
      <c r="BT346" s="491">
        <f>SUM(L346:BO346)</f>
        <v>0</v>
      </c>
      <c r="BU346" s="492"/>
      <c r="BV346" s="101"/>
      <c r="BW346" s="398"/>
      <c r="BZ346" s="411"/>
      <c r="CA346" s="411"/>
    </row>
    <row r="347" spans="1:79" x14ac:dyDescent="0.3">
      <c r="A347" s="388"/>
      <c r="B347" s="388"/>
      <c r="D347" s="500"/>
      <c r="E347" s="501"/>
      <c r="F347" s="391"/>
      <c r="G347" s="502"/>
      <c r="H347" s="502"/>
      <c r="I347" s="502"/>
      <c r="J347" s="503"/>
      <c r="K347" s="502"/>
      <c r="L347" s="502"/>
      <c r="M347" s="502"/>
      <c r="N347" s="502"/>
      <c r="O347" s="503"/>
      <c r="P347" s="502"/>
      <c r="Q347" s="502"/>
      <c r="R347" s="502"/>
      <c r="S347" s="502"/>
      <c r="T347" s="503"/>
      <c r="U347" s="502"/>
      <c r="V347" s="502"/>
      <c r="W347" s="502"/>
      <c r="X347" s="502"/>
      <c r="Y347" s="503"/>
      <c r="Z347" s="502"/>
      <c r="AA347" s="502"/>
      <c r="AB347" s="502"/>
      <c r="AC347" s="502"/>
      <c r="AD347" s="503"/>
      <c r="AE347" s="502"/>
      <c r="AF347" s="502"/>
      <c r="AG347" s="502"/>
      <c r="AH347" s="502"/>
      <c r="AI347" s="503"/>
      <c r="AJ347" s="502"/>
      <c r="AK347" s="502"/>
      <c r="AL347" s="502"/>
      <c r="AM347" s="502"/>
      <c r="AN347" s="503"/>
      <c r="AO347" s="502"/>
      <c r="AP347" s="502"/>
      <c r="AQ347" s="502"/>
      <c r="AR347" s="502"/>
      <c r="AS347" s="503"/>
      <c r="AT347" s="502"/>
      <c r="AU347" s="502"/>
      <c r="AV347" s="502"/>
      <c r="AW347" s="502"/>
      <c r="AX347" s="503"/>
      <c r="AY347" s="502"/>
      <c r="AZ347" s="502"/>
      <c r="BA347" s="502"/>
      <c r="BB347" s="502"/>
      <c r="BC347" s="503"/>
      <c r="BD347" s="502"/>
      <c r="BE347" s="502"/>
      <c r="BF347" s="502"/>
      <c r="BG347" s="502"/>
      <c r="BH347" s="503"/>
      <c r="BI347" s="502"/>
      <c r="BJ347" s="502"/>
      <c r="BK347" s="502"/>
      <c r="BL347" s="502"/>
      <c r="BM347" s="503"/>
      <c r="BN347" s="502"/>
      <c r="BO347" s="502"/>
      <c r="BP347" s="502"/>
      <c r="BQ347" s="502"/>
      <c r="BR347" s="503"/>
      <c r="BS347" s="502"/>
      <c r="BT347" s="502"/>
      <c r="BU347" s="502"/>
      <c r="BV347" s="502"/>
      <c r="BW347" s="398"/>
      <c r="BZ347" s="411"/>
      <c r="CA347" s="411"/>
    </row>
    <row r="348" spans="1:79" x14ac:dyDescent="0.3">
      <c r="A348" s="388"/>
      <c r="B348" s="388"/>
      <c r="C348" s="388"/>
      <c r="E348" s="454"/>
      <c r="F348" s="388"/>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c r="BT348" s="101"/>
      <c r="BU348" s="101"/>
      <c r="BV348" s="101"/>
      <c r="BW348" s="388"/>
    </row>
  </sheetData>
  <pageMargins left="0.7" right="0.7" top="0.75" bottom="0.75" header="0.3" footer="0.3"/>
  <pageSetup paperSize="9" scale="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60"/>
  <sheetViews>
    <sheetView view="pageBreakPreview" topLeftCell="AR1" zoomScale="110" zoomScaleNormal="100" zoomScaleSheetLayoutView="110" workbookViewId="0">
      <selection activeCell="BN12" sqref="BN12"/>
    </sheetView>
  </sheetViews>
  <sheetFormatPr defaultColWidth="10" defaultRowHeight="13.8" x14ac:dyDescent="0.3"/>
  <cols>
    <col min="1" max="1" width="1.88671875" style="38" customWidth="1"/>
    <col min="2" max="3" width="1" style="38" customWidth="1"/>
    <col min="4" max="4" width="34" style="38" customWidth="1"/>
    <col min="5" max="6" width="1" style="38" customWidth="1"/>
    <col min="7" max="7" width="17.88671875" style="38" customWidth="1"/>
    <col min="8" max="11" width="1" style="38" customWidth="1"/>
    <col min="12" max="12" width="17.88671875" style="38" customWidth="1"/>
    <col min="13" max="16" width="1" style="38" customWidth="1"/>
    <col min="17" max="17" width="17.88671875" style="38" customWidth="1"/>
    <col min="18" max="21" width="1" style="38" customWidth="1"/>
    <col min="22" max="22" width="17.88671875" style="38" customWidth="1"/>
    <col min="23" max="26" width="1" style="38" customWidth="1"/>
    <col min="27" max="27" width="17.88671875" style="38" customWidth="1"/>
    <col min="28" max="31" width="1" style="38" customWidth="1"/>
    <col min="32" max="32" width="17.88671875" style="38" customWidth="1"/>
    <col min="33" max="36" width="1" style="38" customWidth="1"/>
    <col min="37" max="37" width="17.88671875" style="38" customWidth="1"/>
    <col min="38" max="41" width="1" style="38" customWidth="1"/>
    <col min="42" max="42" width="17.88671875" style="38" customWidth="1"/>
    <col min="43" max="46" width="1" style="38" customWidth="1"/>
    <col min="47" max="47" width="17.88671875" style="38" customWidth="1"/>
    <col min="48" max="51" width="1" style="38" customWidth="1"/>
    <col min="52" max="52" width="17.88671875" style="38" customWidth="1"/>
    <col min="53" max="56" width="1" style="38" customWidth="1"/>
    <col min="57" max="57" width="17.88671875" style="38" customWidth="1"/>
    <col min="58" max="61" width="1" style="38" customWidth="1"/>
    <col min="62" max="62" width="17.88671875" style="38" customWidth="1"/>
    <col min="63" max="66" width="1" style="38" customWidth="1"/>
    <col min="67" max="67" width="17.88671875" style="38" customWidth="1"/>
    <col min="68" max="71" width="1" style="38" customWidth="1"/>
    <col min="72" max="72" width="17.88671875" style="38" customWidth="1"/>
    <col min="73" max="74" width="1" style="38" customWidth="1"/>
    <col min="75" max="75" width="6.44140625" style="38" customWidth="1"/>
    <col min="76" max="76" width="17.44140625" style="38" customWidth="1"/>
    <col min="77" max="77" width="12.33203125" style="38" customWidth="1"/>
    <col min="78" max="186" width="10" style="38"/>
    <col min="187" max="187" width="1.88671875" style="38" customWidth="1"/>
    <col min="188" max="189" width="1" style="38" customWidth="1"/>
    <col min="190" max="190" width="34" style="38" customWidth="1"/>
    <col min="191" max="192" width="1" style="38" customWidth="1"/>
    <col min="193" max="193" width="17.88671875" style="38" customWidth="1"/>
    <col min="194" max="195" width="1" style="38" customWidth="1"/>
    <col min="196" max="250" width="0" style="38" hidden="1" customWidth="1"/>
    <col min="251" max="252" width="1" style="38" customWidth="1"/>
    <col min="253" max="253" width="17.88671875" style="38" customWidth="1"/>
    <col min="254" max="257" width="1" style="38" customWidth="1"/>
    <col min="258" max="258" width="17.88671875" style="38" customWidth="1"/>
    <col min="259" max="262" width="1" style="38" customWidth="1"/>
    <col min="263" max="263" width="17.88671875" style="38" customWidth="1"/>
    <col min="264" max="265" width="1" style="38" customWidth="1"/>
    <col min="266" max="320" width="0" style="38" hidden="1" customWidth="1"/>
    <col min="321" max="322" width="1" style="38" customWidth="1"/>
    <col min="323" max="323" width="17.88671875" style="38" customWidth="1"/>
    <col min="324" max="327" width="1" style="38" customWidth="1"/>
    <col min="328" max="328" width="17.88671875" style="38" customWidth="1"/>
    <col min="329" max="329" width="1" style="38" customWidth="1"/>
    <col min="330" max="330" width="2" style="38" customWidth="1"/>
    <col min="331" max="331" width="6.44140625" style="38" customWidth="1"/>
    <col min="332" max="332" width="17.44140625" style="38" customWidth="1"/>
    <col min="333" max="333" width="12.33203125" style="38" customWidth="1"/>
    <col min="334" max="442" width="10" style="38"/>
    <col min="443" max="443" width="1.88671875" style="38" customWidth="1"/>
    <col min="444" max="445" width="1" style="38" customWidth="1"/>
    <col min="446" max="446" width="34" style="38" customWidth="1"/>
    <col min="447" max="448" width="1" style="38" customWidth="1"/>
    <col min="449" max="449" width="17.88671875" style="38" customWidth="1"/>
    <col min="450" max="451" width="1" style="38" customWidth="1"/>
    <col min="452" max="506" width="0" style="38" hidden="1" customWidth="1"/>
    <col min="507" max="508" width="1" style="38" customWidth="1"/>
    <col min="509" max="509" width="17.88671875" style="38" customWidth="1"/>
    <col min="510" max="513" width="1" style="38" customWidth="1"/>
    <col min="514" max="514" width="17.88671875" style="38" customWidth="1"/>
    <col min="515" max="518" width="1" style="38" customWidth="1"/>
    <col min="519" max="519" width="17.88671875" style="38" customWidth="1"/>
    <col min="520" max="521" width="1" style="38" customWidth="1"/>
    <col min="522" max="576" width="0" style="38" hidden="1" customWidth="1"/>
    <col min="577" max="578" width="1" style="38" customWidth="1"/>
    <col min="579" max="579" width="17.88671875" style="38" customWidth="1"/>
    <col min="580" max="583" width="1" style="38" customWidth="1"/>
    <col min="584" max="584" width="17.88671875" style="38" customWidth="1"/>
    <col min="585" max="585" width="1" style="38" customWidth="1"/>
    <col min="586" max="586" width="2" style="38" customWidth="1"/>
    <col min="587" max="587" width="6.44140625" style="38" customWidth="1"/>
    <col min="588" max="588" width="17.44140625" style="38" customWidth="1"/>
    <col min="589" max="589" width="12.33203125" style="38" customWidth="1"/>
    <col min="590" max="698" width="10" style="38"/>
    <col min="699" max="699" width="1.88671875" style="38" customWidth="1"/>
    <col min="700" max="701" width="1" style="38" customWidth="1"/>
    <col min="702" max="702" width="34" style="38" customWidth="1"/>
    <col min="703" max="704" width="1" style="38" customWidth="1"/>
    <col min="705" max="705" width="17.88671875" style="38" customWidth="1"/>
    <col min="706" max="707" width="1" style="38" customWidth="1"/>
    <col min="708" max="762" width="0" style="38" hidden="1" customWidth="1"/>
    <col min="763" max="764" width="1" style="38" customWidth="1"/>
    <col min="765" max="765" width="17.88671875" style="38" customWidth="1"/>
    <col min="766" max="769" width="1" style="38" customWidth="1"/>
    <col min="770" max="770" width="17.88671875" style="38" customWidth="1"/>
    <col min="771" max="774" width="1" style="38" customWidth="1"/>
    <col min="775" max="775" width="17.88671875" style="38" customWidth="1"/>
    <col min="776" max="777" width="1" style="38" customWidth="1"/>
    <col min="778" max="832" width="0" style="38" hidden="1" customWidth="1"/>
    <col min="833" max="834" width="1" style="38" customWidth="1"/>
    <col min="835" max="835" width="17.88671875" style="38" customWidth="1"/>
    <col min="836" max="839" width="1" style="38" customWidth="1"/>
    <col min="840" max="840" width="17.88671875" style="38" customWidth="1"/>
    <col min="841" max="841" width="1" style="38" customWidth="1"/>
    <col min="842" max="842" width="2" style="38" customWidth="1"/>
    <col min="843" max="843" width="6.44140625" style="38" customWidth="1"/>
    <col min="844" max="844" width="17.44140625" style="38" customWidth="1"/>
    <col min="845" max="845" width="12.33203125" style="38" customWidth="1"/>
    <col min="846" max="954" width="10" style="38"/>
    <col min="955" max="955" width="1.88671875" style="38" customWidth="1"/>
    <col min="956" max="957" width="1" style="38" customWidth="1"/>
    <col min="958" max="958" width="34" style="38" customWidth="1"/>
    <col min="959" max="960" width="1" style="38" customWidth="1"/>
    <col min="961" max="961" width="17.88671875" style="38" customWidth="1"/>
    <col min="962" max="963" width="1" style="38" customWidth="1"/>
    <col min="964" max="1018" width="0" style="38" hidden="1" customWidth="1"/>
    <col min="1019" max="1020" width="1" style="38" customWidth="1"/>
    <col min="1021" max="1021" width="17.88671875" style="38" customWidth="1"/>
    <col min="1022" max="1025" width="1" style="38" customWidth="1"/>
    <col min="1026" max="1026" width="17.88671875" style="38" customWidth="1"/>
    <col min="1027" max="1030" width="1" style="38" customWidth="1"/>
    <col min="1031" max="1031" width="17.88671875" style="38" customWidth="1"/>
    <col min="1032" max="1033" width="1" style="38" customWidth="1"/>
    <col min="1034" max="1088" width="0" style="38" hidden="1" customWidth="1"/>
    <col min="1089" max="1090" width="1" style="38" customWidth="1"/>
    <col min="1091" max="1091" width="17.88671875" style="38" customWidth="1"/>
    <col min="1092" max="1095" width="1" style="38" customWidth="1"/>
    <col min="1096" max="1096" width="17.88671875" style="38" customWidth="1"/>
    <col min="1097" max="1097" width="1" style="38" customWidth="1"/>
    <col min="1098" max="1098" width="2" style="38" customWidth="1"/>
    <col min="1099" max="1099" width="6.44140625" style="38" customWidth="1"/>
    <col min="1100" max="1100" width="17.44140625" style="38" customWidth="1"/>
    <col min="1101" max="1101" width="12.33203125" style="38" customWidth="1"/>
    <col min="1102" max="1210" width="10" style="38"/>
    <col min="1211" max="1211" width="1.88671875" style="38" customWidth="1"/>
    <col min="1212" max="1213" width="1" style="38" customWidth="1"/>
    <col min="1214" max="1214" width="34" style="38" customWidth="1"/>
    <col min="1215" max="1216" width="1" style="38" customWidth="1"/>
    <col min="1217" max="1217" width="17.88671875" style="38" customWidth="1"/>
    <col min="1218" max="1219" width="1" style="38" customWidth="1"/>
    <col min="1220" max="1274" width="0" style="38" hidden="1" customWidth="1"/>
    <col min="1275" max="1276" width="1" style="38" customWidth="1"/>
    <col min="1277" max="1277" width="17.88671875" style="38" customWidth="1"/>
    <col min="1278" max="1281" width="1" style="38" customWidth="1"/>
    <col min="1282" max="1282" width="17.88671875" style="38" customWidth="1"/>
    <col min="1283" max="1286" width="1" style="38" customWidth="1"/>
    <col min="1287" max="1287" width="17.88671875" style="38" customWidth="1"/>
    <col min="1288" max="1289" width="1" style="38" customWidth="1"/>
    <col min="1290" max="1344" width="0" style="38" hidden="1" customWidth="1"/>
    <col min="1345" max="1346" width="1" style="38" customWidth="1"/>
    <col min="1347" max="1347" width="17.88671875" style="38" customWidth="1"/>
    <col min="1348" max="1351" width="1" style="38" customWidth="1"/>
    <col min="1352" max="1352" width="17.88671875" style="38" customWidth="1"/>
    <col min="1353" max="1353" width="1" style="38" customWidth="1"/>
    <col min="1354" max="1354" width="2" style="38" customWidth="1"/>
    <col min="1355" max="1355" width="6.44140625" style="38" customWidth="1"/>
    <col min="1356" max="1356" width="17.44140625" style="38" customWidth="1"/>
    <col min="1357" max="1357" width="12.33203125" style="38" customWidth="1"/>
    <col min="1358" max="1466" width="10" style="38"/>
    <col min="1467" max="1467" width="1.88671875" style="38" customWidth="1"/>
    <col min="1468" max="1469" width="1" style="38" customWidth="1"/>
    <col min="1470" max="1470" width="34" style="38" customWidth="1"/>
    <col min="1471" max="1472" width="1" style="38" customWidth="1"/>
    <col min="1473" max="1473" width="17.88671875" style="38" customWidth="1"/>
    <col min="1474" max="1475" width="1" style="38" customWidth="1"/>
    <col min="1476" max="1530" width="0" style="38" hidden="1" customWidth="1"/>
    <col min="1531" max="1532" width="1" style="38" customWidth="1"/>
    <col min="1533" max="1533" width="17.88671875" style="38" customWidth="1"/>
    <col min="1534" max="1537" width="1" style="38" customWidth="1"/>
    <col min="1538" max="1538" width="17.88671875" style="38" customWidth="1"/>
    <col min="1539" max="1542" width="1" style="38" customWidth="1"/>
    <col min="1543" max="1543" width="17.88671875" style="38" customWidth="1"/>
    <col min="1544" max="1545" width="1" style="38" customWidth="1"/>
    <col min="1546" max="1600" width="0" style="38" hidden="1" customWidth="1"/>
    <col min="1601" max="1602" width="1" style="38" customWidth="1"/>
    <col min="1603" max="1603" width="17.88671875" style="38" customWidth="1"/>
    <col min="1604" max="1607" width="1" style="38" customWidth="1"/>
    <col min="1608" max="1608" width="17.88671875" style="38" customWidth="1"/>
    <col min="1609" max="1609" width="1" style="38" customWidth="1"/>
    <col min="1610" max="1610" width="2" style="38" customWidth="1"/>
    <col min="1611" max="1611" width="6.44140625" style="38" customWidth="1"/>
    <col min="1612" max="1612" width="17.44140625" style="38" customWidth="1"/>
    <col min="1613" max="1613" width="12.33203125" style="38" customWidth="1"/>
    <col min="1614" max="1722" width="10" style="38"/>
    <col min="1723" max="1723" width="1.88671875" style="38" customWidth="1"/>
    <col min="1724" max="1725" width="1" style="38" customWidth="1"/>
    <col min="1726" max="1726" width="34" style="38" customWidth="1"/>
    <col min="1727" max="1728" width="1" style="38" customWidth="1"/>
    <col min="1729" max="1729" width="17.88671875" style="38" customWidth="1"/>
    <col min="1730" max="1731" width="1" style="38" customWidth="1"/>
    <col min="1732" max="1786" width="0" style="38" hidden="1" customWidth="1"/>
    <col min="1787" max="1788" width="1" style="38" customWidth="1"/>
    <col min="1789" max="1789" width="17.88671875" style="38" customWidth="1"/>
    <col min="1790" max="1793" width="1" style="38" customWidth="1"/>
    <col min="1794" max="1794" width="17.88671875" style="38" customWidth="1"/>
    <col min="1795" max="1798" width="1" style="38" customWidth="1"/>
    <col min="1799" max="1799" width="17.88671875" style="38" customWidth="1"/>
    <col min="1800" max="1801" width="1" style="38" customWidth="1"/>
    <col min="1802" max="1856" width="0" style="38" hidden="1" customWidth="1"/>
    <col min="1857" max="1858" width="1" style="38" customWidth="1"/>
    <col min="1859" max="1859" width="17.88671875" style="38" customWidth="1"/>
    <col min="1860" max="1863" width="1" style="38" customWidth="1"/>
    <col min="1864" max="1864" width="17.88671875" style="38" customWidth="1"/>
    <col min="1865" max="1865" width="1" style="38" customWidth="1"/>
    <col min="1866" max="1866" width="2" style="38" customWidth="1"/>
    <col min="1867" max="1867" width="6.44140625" style="38" customWidth="1"/>
    <col min="1868" max="1868" width="17.44140625" style="38" customWidth="1"/>
    <col min="1869" max="1869" width="12.33203125" style="38" customWidth="1"/>
    <col min="1870" max="1978" width="10" style="38"/>
    <col min="1979" max="1979" width="1.88671875" style="38" customWidth="1"/>
    <col min="1980" max="1981" width="1" style="38" customWidth="1"/>
    <col min="1982" max="1982" width="34" style="38" customWidth="1"/>
    <col min="1983" max="1984" width="1" style="38" customWidth="1"/>
    <col min="1985" max="1985" width="17.88671875" style="38" customWidth="1"/>
    <col min="1986" max="1987" width="1" style="38" customWidth="1"/>
    <col min="1988" max="2042" width="0" style="38" hidden="1" customWidth="1"/>
    <col min="2043" max="2044" width="1" style="38" customWidth="1"/>
    <col min="2045" max="2045" width="17.88671875" style="38" customWidth="1"/>
    <col min="2046" max="2049" width="1" style="38" customWidth="1"/>
    <col min="2050" max="2050" width="17.88671875" style="38" customWidth="1"/>
    <col min="2051" max="2054" width="1" style="38" customWidth="1"/>
    <col min="2055" max="2055" width="17.88671875" style="38" customWidth="1"/>
    <col min="2056" max="2057" width="1" style="38" customWidth="1"/>
    <col min="2058" max="2112" width="0" style="38" hidden="1" customWidth="1"/>
    <col min="2113" max="2114" width="1" style="38" customWidth="1"/>
    <col min="2115" max="2115" width="17.88671875" style="38" customWidth="1"/>
    <col min="2116" max="2119" width="1" style="38" customWidth="1"/>
    <col min="2120" max="2120" width="17.88671875" style="38" customWidth="1"/>
    <col min="2121" max="2121" width="1" style="38" customWidth="1"/>
    <col min="2122" max="2122" width="2" style="38" customWidth="1"/>
    <col min="2123" max="2123" width="6.44140625" style="38" customWidth="1"/>
    <col min="2124" max="2124" width="17.44140625" style="38" customWidth="1"/>
    <col min="2125" max="2125" width="12.33203125" style="38" customWidth="1"/>
    <col min="2126" max="2234" width="10" style="38"/>
    <col min="2235" max="2235" width="1.88671875" style="38" customWidth="1"/>
    <col min="2236" max="2237" width="1" style="38" customWidth="1"/>
    <col min="2238" max="2238" width="34" style="38" customWidth="1"/>
    <col min="2239" max="2240" width="1" style="38" customWidth="1"/>
    <col min="2241" max="2241" width="17.88671875" style="38" customWidth="1"/>
    <col min="2242" max="2243" width="1" style="38" customWidth="1"/>
    <col min="2244" max="2298" width="0" style="38" hidden="1" customWidth="1"/>
    <col min="2299" max="2300" width="1" style="38" customWidth="1"/>
    <col min="2301" max="2301" width="17.88671875" style="38" customWidth="1"/>
    <col min="2302" max="2305" width="1" style="38" customWidth="1"/>
    <col min="2306" max="2306" width="17.88671875" style="38" customWidth="1"/>
    <col min="2307" max="2310" width="1" style="38" customWidth="1"/>
    <col min="2311" max="2311" width="17.88671875" style="38" customWidth="1"/>
    <col min="2312" max="2313" width="1" style="38" customWidth="1"/>
    <col min="2314" max="2368" width="0" style="38" hidden="1" customWidth="1"/>
    <col min="2369" max="2370" width="1" style="38" customWidth="1"/>
    <col min="2371" max="2371" width="17.88671875" style="38" customWidth="1"/>
    <col min="2372" max="2375" width="1" style="38" customWidth="1"/>
    <col min="2376" max="2376" width="17.88671875" style="38" customWidth="1"/>
    <col min="2377" max="2377" width="1" style="38" customWidth="1"/>
    <col min="2378" max="2378" width="2" style="38" customWidth="1"/>
    <col min="2379" max="2379" width="6.44140625" style="38" customWidth="1"/>
    <col min="2380" max="2380" width="17.44140625" style="38" customWidth="1"/>
    <col min="2381" max="2381" width="12.33203125" style="38" customWidth="1"/>
    <col min="2382" max="2490" width="10" style="38"/>
    <col min="2491" max="2491" width="1.88671875" style="38" customWidth="1"/>
    <col min="2492" max="2493" width="1" style="38" customWidth="1"/>
    <col min="2494" max="2494" width="34" style="38" customWidth="1"/>
    <col min="2495" max="2496" width="1" style="38" customWidth="1"/>
    <col min="2497" max="2497" width="17.88671875" style="38" customWidth="1"/>
    <col min="2498" max="2499" width="1" style="38" customWidth="1"/>
    <col min="2500" max="2554" width="0" style="38" hidden="1" customWidth="1"/>
    <col min="2555" max="2556" width="1" style="38" customWidth="1"/>
    <col min="2557" max="2557" width="17.88671875" style="38" customWidth="1"/>
    <col min="2558" max="2561" width="1" style="38" customWidth="1"/>
    <col min="2562" max="2562" width="17.88671875" style="38" customWidth="1"/>
    <col min="2563" max="2566" width="1" style="38" customWidth="1"/>
    <col min="2567" max="2567" width="17.88671875" style="38" customWidth="1"/>
    <col min="2568" max="2569" width="1" style="38" customWidth="1"/>
    <col min="2570" max="2624" width="0" style="38" hidden="1" customWidth="1"/>
    <col min="2625" max="2626" width="1" style="38" customWidth="1"/>
    <col min="2627" max="2627" width="17.88671875" style="38" customWidth="1"/>
    <col min="2628" max="2631" width="1" style="38" customWidth="1"/>
    <col min="2632" max="2632" width="17.88671875" style="38" customWidth="1"/>
    <col min="2633" max="2633" width="1" style="38" customWidth="1"/>
    <col min="2634" max="2634" width="2" style="38" customWidth="1"/>
    <col min="2635" max="2635" width="6.44140625" style="38" customWidth="1"/>
    <col min="2636" max="2636" width="17.44140625" style="38" customWidth="1"/>
    <col min="2637" max="2637" width="12.33203125" style="38" customWidth="1"/>
    <col min="2638" max="2746" width="10" style="38"/>
    <col min="2747" max="2747" width="1.88671875" style="38" customWidth="1"/>
    <col min="2748" max="2749" width="1" style="38" customWidth="1"/>
    <col min="2750" max="2750" width="34" style="38" customWidth="1"/>
    <col min="2751" max="2752" width="1" style="38" customWidth="1"/>
    <col min="2753" max="2753" width="17.88671875" style="38" customWidth="1"/>
    <col min="2754" max="2755" width="1" style="38" customWidth="1"/>
    <col min="2756" max="2810" width="0" style="38" hidden="1" customWidth="1"/>
    <col min="2811" max="2812" width="1" style="38" customWidth="1"/>
    <col min="2813" max="2813" width="17.88671875" style="38" customWidth="1"/>
    <col min="2814" max="2817" width="1" style="38" customWidth="1"/>
    <col min="2818" max="2818" width="17.88671875" style="38" customWidth="1"/>
    <col min="2819" max="2822" width="1" style="38" customWidth="1"/>
    <col min="2823" max="2823" width="17.88671875" style="38" customWidth="1"/>
    <col min="2824" max="2825" width="1" style="38" customWidth="1"/>
    <col min="2826" max="2880" width="0" style="38" hidden="1" customWidth="1"/>
    <col min="2881" max="2882" width="1" style="38" customWidth="1"/>
    <col min="2883" max="2883" width="17.88671875" style="38" customWidth="1"/>
    <col min="2884" max="2887" width="1" style="38" customWidth="1"/>
    <col min="2888" max="2888" width="17.88671875" style="38" customWidth="1"/>
    <col min="2889" max="2889" width="1" style="38" customWidth="1"/>
    <col min="2890" max="2890" width="2" style="38" customWidth="1"/>
    <col min="2891" max="2891" width="6.44140625" style="38" customWidth="1"/>
    <col min="2892" max="2892" width="17.44140625" style="38" customWidth="1"/>
    <col min="2893" max="2893" width="12.33203125" style="38" customWidth="1"/>
    <col min="2894" max="3002" width="10" style="38"/>
    <col min="3003" max="3003" width="1.88671875" style="38" customWidth="1"/>
    <col min="3004" max="3005" width="1" style="38" customWidth="1"/>
    <col min="3006" max="3006" width="34" style="38" customWidth="1"/>
    <col min="3007" max="3008" width="1" style="38" customWidth="1"/>
    <col min="3009" max="3009" width="17.88671875" style="38" customWidth="1"/>
    <col min="3010" max="3011" width="1" style="38" customWidth="1"/>
    <col min="3012" max="3066" width="0" style="38" hidden="1" customWidth="1"/>
    <col min="3067" max="3068" width="1" style="38" customWidth="1"/>
    <col min="3069" max="3069" width="17.88671875" style="38" customWidth="1"/>
    <col min="3070" max="3073" width="1" style="38" customWidth="1"/>
    <col min="3074" max="3074" width="17.88671875" style="38" customWidth="1"/>
    <col min="3075" max="3078" width="1" style="38" customWidth="1"/>
    <col min="3079" max="3079" width="17.88671875" style="38" customWidth="1"/>
    <col min="3080" max="3081" width="1" style="38" customWidth="1"/>
    <col min="3082" max="3136" width="0" style="38" hidden="1" customWidth="1"/>
    <col min="3137" max="3138" width="1" style="38" customWidth="1"/>
    <col min="3139" max="3139" width="17.88671875" style="38" customWidth="1"/>
    <col min="3140" max="3143" width="1" style="38" customWidth="1"/>
    <col min="3144" max="3144" width="17.88671875" style="38" customWidth="1"/>
    <col min="3145" max="3145" width="1" style="38" customWidth="1"/>
    <col min="3146" max="3146" width="2" style="38" customWidth="1"/>
    <col min="3147" max="3147" width="6.44140625" style="38" customWidth="1"/>
    <col min="3148" max="3148" width="17.44140625" style="38" customWidth="1"/>
    <col min="3149" max="3149" width="12.33203125" style="38" customWidth="1"/>
    <col min="3150" max="3258" width="10" style="38"/>
    <col min="3259" max="3259" width="1.88671875" style="38" customWidth="1"/>
    <col min="3260" max="3261" width="1" style="38" customWidth="1"/>
    <col min="3262" max="3262" width="34" style="38" customWidth="1"/>
    <col min="3263" max="3264" width="1" style="38" customWidth="1"/>
    <col min="3265" max="3265" width="17.88671875" style="38" customWidth="1"/>
    <col min="3266" max="3267" width="1" style="38" customWidth="1"/>
    <col min="3268" max="3322" width="0" style="38" hidden="1" customWidth="1"/>
    <col min="3323" max="3324" width="1" style="38" customWidth="1"/>
    <col min="3325" max="3325" width="17.88671875" style="38" customWidth="1"/>
    <col min="3326" max="3329" width="1" style="38" customWidth="1"/>
    <col min="3330" max="3330" width="17.88671875" style="38" customWidth="1"/>
    <col min="3331" max="3334" width="1" style="38" customWidth="1"/>
    <col min="3335" max="3335" width="17.88671875" style="38" customWidth="1"/>
    <col min="3336" max="3337" width="1" style="38" customWidth="1"/>
    <col min="3338" max="3392" width="0" style="38" hidden="1" customWidth="1"/>
    <col min="3393" max="3394" width="1" style="38" customWidth="1"/>
    <col min="3395" max="3395" width="17.88671875" style="38" customWidth="1"/>
    <col min="3396" max="3399" width="1" style="38" customWidth="1"/>
    <col min="3400" max="3400" width="17.88671875" style="38" customWidth="1"/>
    <col min="3401" max="3401" width="1" style="38" customWidth="1"/>
    <col min="3402" max="3402" width="2" style="38" customWidth="1"/>
    <col min="3403" max="3403" width="6.44140625" style="38" customWidth="1"/>
    <col min="3404" max="3404" width="17.44140625" style="38" customWidth="1"/>
    <col min="3405" max="3405" width="12.33203125" style="38" customWidth="1"/>
    <col min="3406" max="3514" width="10" style="38"/>
    <col min="3515" max="3515" width="1.88671875" style="38" customWidth="1"/>
    <col min="3516" max="3517" width="1" style="38" customWidth="1"/>
    <col min="3518" max="3518" width="34" style="38" customWidth="1"/>
    <col min="3519" max="3520" width="1" style="38" customWidth="1"/>
    <col min="3521" max="3521" width="17.88671875" style="38" customWidth="1"/>
    <col min="3522" max="3523" width="1" style="38" customWidth="1"/>
    <col min="3524" max="3578" width="0" style="38" hidden="1" customWidth="1"/>
    <col min="3579" max="3580" width="1" style="38" customWidth="1"/>
    <col min="3581" max="3581" width="17.88671875" style="38" customWidth="1"/>
    <col min="3582" max="3585" width="1" style="38" customWidth="1"/>
    <col min="3586" max="3586" width="17.88671875" style="38" customWidth="1"/>
    <col min="3587" max="3590" width="1" style="38" customWidth="1"/>
    <col min="3591" max="3591" width="17.88671875" style="38" customWidth="1"/>
    <col min="3592" max="3593" width="1" style="38" customWidth="1"/>
    <col min="3594" max="3648" width="0" style="38" hidden="1" customWidth="1"/>
    <col min="3649" max="3650" width="1" style="38" customWidth="1"/>
    <col min="3651" max="3651" width="17.88671875" style="38" customWidth="1"/>
    <col min="3652" max="3655" width="1" style="38" customWidth="1"/>
    <col min="3656" max="3656" width="17.88671875" style="38" customWidth="1"/>
    <col min="3657" max="3657" width="1" style="38" customWidth="1"/>
    <col min="3658" max="3658" width="2" style="38" customWidth="1"/>
    <col min="3659" max="3659" width="6.44140625" style="38" customWidth="1"/>
    <col min="3660" max="3660" width="17.44140625" style="38" customWidth="1"/>
    <col min="3661" max="3661" width="12.33203125" style="38" customWidth="1"/>
    <col min="3662" max="3770" width="10" style="38"/>
    <col min="3771" max="3771" width="1.88671875" style="38" customWidth="1"/>
    <col min="3772" max="3773" width="1" style="38" customWidth="1"/>
    <col min="3774" max="3774" width="34" style="38" customWidth="1"/>
    <col min="3775" max="3776" width="1" style="38" customWidth="1"/>
    <col min="3777" max="3777" width="17.88671875" style="38" customWidth="1"/>
    <col min="3778" max="3779" width="1" style="38" customWidth="1"/>
    <col min="3780" max="3834" width="0" style="38" hidden="1" customWidth="1"/>
    <col min="3835" max="3836" width="1" style="38" customWidth="1"/>
    <col min="3837" max="3837" width="17.88671875" style="38" customWidth="1"/>
    <col min="3838" max="3841" width="1" style="38" customWidth="1"/>
    <col min="3842" max="3842" width="17.88671875" style="38" customWidth="1"/>
    <col min="3843" max="3846" width="1" style="38" customWidth="1"/>
    <col min="3847" max="3847" width="17.88671875" style="38" customWidth="1"/>
    <col min="3848" max="3849" width="1" style="38" customWidth="1"/>
    <col min="3850" max="3904" width="0" style="38" hidden="1" customWidth="1"/>
    <col min="3905" max="3906" width="1" style="38" customWidth="1"/>
    <col min="3907" max="3907" width="17.88671875" style="38" customWidth="1"/>
    <col min="3908" max="3911" width="1" style="38" customWidth="1"/>
    <col min="3912" max="3912" width="17.88671875" style="38" customWidth="1"/>
    <col min="3913" max="3913" width="1" style="38" customWidth="1"/>
    <col min="3914" max="3914" width="2" style="38" customWidth="1"/>
    <col min="3915" max="3915" width="6.44140625" style="38" customWidth="1"/>
    <col min="3916" max="3916" width="17.44140625" style="38" customWidth="1"/>
    <col min="3917" max="3917" width="12.33203125" style="38" customWidth="1"/>
    <col min="3918" max="4026" width="10" style="38"/>
    <col min="4027" max="4027" width="1.88671875" style="38" customWidth="1"/>
    <col min="4028" max="4029" width="1" style="38" customWidth="1"/>
    <col min="4030" max="4030" width="34" style="38" customWidth="1"/>
    <col min="4031" max="4032" width="1" style="38" customWidth="1"/>
    <col min="4033" max="4033" width="17.88671875" style="38" customWidth="1"/>
    <col min="4034" max="4035" width="1" style="38" customWidth="1"/>
    <col min="4036" max="4090" width="0" style="38" hidden="1" customWidth="1"/>
    <col min="4091" max="4092" width="1" style="38" customWidth="1"/>
    <col min="4093" max="4093" width="17.88671875" style="38" customWidth="1"/>
    <col min="4094" max="4097" width="1" style="38" customWidth="1"/>
    <col min="4098" max="4098" width="17.88671875" style="38" customWidth="1"/>
    <col min="4099" max="4102" width="1" style="38" customWidth="1"/>
    <col min="4103" max="4103" width="17.88671875" style="38" customWidth="1"/>
    <col min="4104" max="4105" width="1" style="38" customWidth="1"/>
    <col min="4106" max="4160" width="0" style="38" hidden="1" customWidth="1"/>
    <col min="4161" max="4162" width="1" style="38" customWidth="1"/>
    <col min="4163" max="4163" width="17.88671875" style="38" customWidth="1"/>
    <col min="4164" max="4167" width="1" style="38" customWidth="1"/>
    <col min="4168" max="4168" width="17.88671875" style="38" customWidth="1"/>
    <col min="4169" max="4169" width="1" style="38" customWidth="1"/>
    <col min="4170" max="4170" width="2" style="38" customWidth="1"/>
    <col min="4171" max="4171" width="6.44140625" style="38" customWidth="1"/>
    <col min="4172" max="4172" width="17.44140625" style="38" customWidth="1"/>
    <col min="4173" max="4173" width="12.33203125" style="38" customWidth="1"/>
    <col min="4174" max="4282" width="10" style="38"/>
    <col min="4283" max="4283" width="1.88671875" style="38" customWidth="1"/>
    <col min="4284" max="4285" width="1" style="38" customWidth="1"/>
    <col min="4286" max="4286" width="34" style="38" customWidth="1"/>
    <col min="4287" max="4288" width="1" style="38" customWidth="1"/>
    <col min="4289" max="4289" width="17.88671875" style="38" customWidth="1"/>
    <col min="4290" max="4291" width="1" style="38" customWidth="1"/>
    <col min="4292" max="4346" width="0" style="38" hidden="1" customWidth="1"/>
    <col min="4347" max="4348" width="1" style="38" customWidth="1"/>
    <col min="4349" max="4349" width="17.88671875" style="38" customWidth="1"/>
    <col min="4350" max="4353" width="1" style="38" customWidth="1"/>
    <col min="4354" max="4354" width="17.88671875" style="38" customWidth="1"/>
    <col min="4355" max="4358" width="1" style="38" customWidth="1"/>
    <col min="4359" max="4359" width="17.88671875" style="38" customWidth="1"/>
    <col min="4360" max="4361" width="1" style="38" customWidth="1"/>
    <col min="4362" max="4416" width="0" style="38" hidden="1" customWidth="1"/>
    <col min="4417" max="4418" width="1" style="38" customWidth="1"/>
    <col min="4419" max="4419" width="17.88671875" style="38" customWidth="1"/>
    <col min="4420" max="4423" width="1" style="38" customWidth="1"/>
    <col min="4424" max="4424" width="17.88671875" style="38" customWidth="1"/>
    <col min="4425" max="4425" width="1" style="38" customWidth="1"/>
    <col min="4426" max="4426" width="2" style="38" customWidth="1"/>
    <col min="4427" max="4427" width="6.44140625" style="38" customWidth="1"/>
    <col min="4428" max="4428" width="17.44140625" style="38" customWidth="1"/>
    <col min="4429" max="4429" width="12.33203125" style="38" customWidth="1"/>
    <col min="4430" max="4538" width="10" style="38"/>
    <col min="4539" max="4539" width="1.88671875" style="38" customWidth="1"/>
    <col min="4540" max="4541" width="1" style="38" customWidth="1"/>
    <col min="4542" max="4542" width="34" style="38" customWidth="1"/>
    <col min="4543" max="4544" width="1" style="38" customWidth="1"/>
    <col min="4545" max="4545" width="17.88671875" style="38" customWidth="1"/>
    <col min="4546" max="4547" width="1" style="38" customWidth="1"/>
    <col min="4548" max="4602" width="0" style="38" hidden="1" customWidth="1"/>
    <col min="4603" max="4604" width="1" style="38" customWidth="1"/>
    <col min="4605" max="4605" width="17.88671875" style="38" customWidth="1"/>
    <col min="4606" max="4609" width="1" style="38" customWidth="1"/>
    <col min="4610" max="4610" width="17.88671875" style="38" customWidth="1"/>
    <col min="4611" max="4614" width="1" style="38" customWidth="1"/>
    <col min="4615" max="4615" width="17.88671875" style="38" customWidth="1"/>
    <col min="4616" max="4617" width="1" style="38" customWidth="1"/>
    <col min="4618" max="4672" width="0" style="38" hidden="1" customWidth="1"/>
    <col min="4673" max="4674" width="1" style="38" customWidth="1"/>
    <col min="4675" max="4675" width="17.88671875" style="38" customWidth="1"/>
    <col min="4676" max="4679" width="1" style="38" customWidth="1"/>
    <col min="4680" max="4680" width="17.88671875" style="38" customWidth="1"/>
    <col min="4681" max="4681" width="1" style="38" customWidth="1"/>
    <col min="4682" max="4682" width="2" style="38" customWidth="1"/>
    <col min="4683" max="4683" width="6.44140625" style="38" customWidth="1"/>
    <col min="4684" max="4684" width="17.44140625" style="38" customWidth="1"/>
    <col min="4685" max="4685" width="12.33203125" style="38" customWidth="1"/>
    <col min="4686" max="4794" width="10" style="38"/>
    <col min="4795" max="4795" width="1.88671875" style="38" customWidth="1"/>
    <col min="4796" max="4797" width="1" style="38" customWidth="1"/>
    <col min="4798" max="4798" width="34" style="38" customWidth="1"/>
    <col min="4799" max="4800" width="1" style="38" customWidth="1"/>
    <col min="4801" max="4801" width="17.88671875" style="38" customWidth="1"/>
    <col min="4802" max="4803" width="1" style="38" customWidth="1"/>
    <col min="4804" max="4858" width="0" style="38" hidden="1" customWidth="1"/>
    <col min="4859" max="4860" width="1" style="38" customWidth="1"/>
    <col min="4861" max="4861" width="17.88671875" style="38" customWidth="1"/>
    <col min="4862" max="4865" width="1" style="38" customWidth="1"/>
    <col min="4866" max="4866" width="17.88671875" style="38" customWidth="1"/>
    <col min="4867" max="4870" width="1" style="38" customWidth="1"/>
    <col min="4871" max="4871" width="17.88671875" style="38" customWidth="1"/>
    <col min="4872" max="4873" width="1" style="38" customWidth="1"/>
    <col min="4874" max="4928" width="0" style="38" hidden="1" customWidth="1"/>
    <col min="4929" max="4930" width="1" style="38" customWidth="1"/>
    <col min="4931" max="4931" width="17.88671875" style="38" customWidth="1"/>
    <col min="4932" max="4935" width="1" style="38" customWidth="1"/>
    <col min="4936" max="4936" width="17.88671875" style="38" customWidth="1"/>
    <col min="4937" max="4937" width="1" style="38" customWidth="1"/>
    <col min="4938" max="4938" width="2" style="38" customWidth="1"/>
    <col min="4939" max="4939" width="6.44140625" style="38" customWidth="1"/>
    <col min="4940" max="4940" width="17.44140625" style="38" customWidth="1"/>
    <col min="4941" max="4941" width="12.33203125" style="38" customWidth="1"/>
    <col min="4942" max="5050" width="10" style="38"/>
    <col min="5051" max="5051" width="1.88671875" style="38" customWidth="1"/>
    <col min="5052" max="5053" width="1" style="38" customWidth="1"/>
    <col min="5054" max="5054" width="34" style="38" customWidth="1"/>
    <col min="5055" max="5056" width="1" style="38" customWidth="1"/>
    <col min="5057" max="5057" width="17.88671875" style="38" customWidth="1"/>
    <col min="5058" max="5059" width="1" style="38" customWidth="1"/>
    <col min="5060" max="5114" width="0" style="38" hidden="1" customWidth="1"/>
    <col min="5115" max="5116" width="1" style="38" customWidth="1"/>
    <col min="5117" max="5117" width="17.88671875" style="38" customWidth="1"/>
    <col min="5118" max="5121" width="1" style="38" customWidth="1"/>
    <col min="5122" max="5122" width="17.88671875" style="38" customWidth="1"/>
    <col min="5123" max="5126" width="1" style="38" customWidth="1"/>
    <col min="5127" max="5127" width="17.88671875" style="38" customWidth="1"/>
    <col min="5128" max="5129" width="1" style="38" customWidth="1"/>
    <col min="5130" max="5184" width="0" style="38" hidden="1" customWidth="1"/>
    <col min="5185" max="5186" width="1" style="38" customWidth="1"/>
    <col min="5187" max="5187" width="17.88671875" style="38" customWidth="1"/>
    <col min="5188" max="5191" width="1" style="38" customWidth="1"/>
    <col min="5192" max="5192" width="17.88671875" style="38" customWidth="1"/>
    <col min="5193" max="5193" width="1" style="38" customWidth="1"/>
    <col min="5194" max="5194" width="2" style="38" customWidth="1"/>
    <col min="5195" max="5195" width="6.44140625" style="38" customWidth="1"/>
    <col min="5196" max="5196" width="17.44140625" style="38" customWidth="1"/>
    <col min="5197" max="5197" width="12.33203125" style="38" customWidth="1"/>
    <col min="5198" max="5306" width="10" style="38"/>
    <col min="5307" max="5307" width="1.88671875" style="38" customWidth="1"/>
    <col min="5308" max="5309" width="1" style="38" customWidth="1"/>
    <col min="5310" max="5310" width="34" style="38" customWidth="1"/>
    <col min="5311" max="5312" width="1" style="38" customWidth="1"/>
    <col min="5313" max="5313" width="17.88671875" style="38" customWidth="1"/>
    <col min="5314" max="5315" width="1" style="38" customWidth="1"/>
    <col min="5316" max="5370" width="0" style="38" hidden="1" customWidth="1"/>
    <col min="5371" max="5372" width="1" style="38" customWidth="1"/>
    <col min="5373" max="5373" width="17.88671875" style="38" customWidth="1"/>
    <col min="5374" max="5377" width="1" style="38" customWidth="1"/>
    <col min="5378" max="5378" width="17.88671875" style="38" customWidth="1"/>
    <col min="5379" max="5382" width="1" style="38" customWidth="1"/>
    <col min="5383" max="5383" width="17.88671875" style="38" customWidth="1"/>
    <col min="5384" max="5385" width="1" style="38" customWidth="1"/>
    <col min="5386" max="5440" width="0" style="38" hidden="1" customWidth="1"/>
    <col min="5441" max="5442" width="1" style="38" customWidth="1"/>
    <col min="5443" max="5443" width="17.88671875" style="38" customWidth="1"/>
    <col min="5444" max="5447" width="1" style="38" customWidth="1"/>
    <col min="5448" max="5448" width="17.88671875" style="38" customWidth="1"/>
    <col min="5449" max="5449" width="1" style="38" customWidth="1"/>
    <col min="5450" max="5450" width="2" style="38" customWidth="1"/>
    <col min="5451" max="5451" width="6.44140625" style="38" customWidth="1"/>
    <col min="5452" max="5452" width="17.44140625" style="38" customWidth="1"/>
    <col min="5453" max="5453" width="12.33203125" style="38" customWidth="1"/>
    <col min="5454" max="5562" width="10" style="38"/>
    <col min="5563" max="5563" width="1.88671875" style="38" customWidth="1"/>
    <col min="5564" max="5565" width="1" style="38" customWidth="1"/>
    <col min="5566" max="5566" width="34" style="38" customWidth="1"/>
    <col min="5567" max="5568" width="1" style="38" customWidth="1"/>
    <col min="5569" max="5569" width="17.88671875" style="38" customWidth="1"/>
    <col min="5570" max="5571" width="1" style="38" customWidth="1"/>
    <col min="5572" max="5626" width="0" style="38" hidden="1" customWidth="1"/>
    <col min="5627" max="5628" width="1" style="38" customWidth="1"/>
    <col min="5629" max="5629" width="17.88671875" style="38" customWidth="1"/>
    <col min="5630" max="5633" width="1" style="38" customWidth="1"/>
    <col min="5634" max="5634" width="17.88671875" style="38" customWidth="1"/>
    <col min="5635" max="5638" width="1" style="38" customWidth="1"/>
    <col min="5639" max="5639" width="17.88671875" style="38" customWidth="1"/>
    <col min="5640" max="5641" width="1" style="38" customWidth="1"/>
    <col min="5642" max="5696" width="0" style="38" hidden="1" customWidth="1"/>
    <col min="5697" max="5698" width="1" style="38" customWidth="1"/>
    <col min="5699" max="5699" width="17.88671875" style="38" customWidth="1"/>
    <col min="5700" max="5703" width="1" style="38" customWidth="1"/>
    <col min="5704" max="5704" width="17.88671875" style="38" customWidth="1"/>
    <col min="5705" max="5705" width="1" style="38" customWidth="1"/>
    <col min="5706" max="5706" width="2" style="38" customWidth="1"/>
    <col min="5707" max="5707" width="6.44140625" style="38" customWidth="1"/>
    <col min="5708" max="5708" width="17.44140625" style="38" customWidth="1"/>
    <col min="5709" max="5709" width="12.33203125" style="38" customWidth="1"/>
    <col min="5710" max="5818" width="10" style="38"/>
    <col min="5819" max="5819" width="1.88671875" style="38" customWidth="1"/>
    <col min="5820" max="5821" width="1" style="38" customWidth="1"/>
    <col min="5822" max="5822" width="34" style="38" customWidth="1"/>
    <col min="5823" max="5824" width="1" style="38" customWidth="1"/>
    <col min="5825" max="5825" width="17.88671875" style="38" customWidth="1"/>
    <col min="5826" max="5827" width="1" style="38" customWidth="1"/>
    <col min="5828" max="5882" width="0" style="38" hidden="1" customWidth="1"/>
    <col min="5883" max="5884" width="1" style="38" customWidth="1"/>
    <col min="5885" max="5885" width="17.88671875" style="38" customWidth="1"/>
    <col min="5886" max="5889" width="1" style="38" customWidth="1"/>
    <col min="5890" max="5890" width="17.88671875" style="38" customWidth="1"/>
    <col min="5891" max="5894" width="1" style="38" customWidth="1"/>
    <col min="5895" max="5895" width="17.88671875" style="38" customWidth="1"/>
    <col min="5896" max="5897" width="1" style="38" customWidth="1"/>
    <col min="5898" max="5952" width="0" style="38" hidden="1" customWidth="1"/>
    <col min="5953" max="5954" width="1" style="38" customWidth="1"/>
    <col min="5955" max="5955" width="17.88671875" style="38" customWidth="1"/>
    <col min="5956" max="5959" width="1" style="38" customWidth="1"/>
    <col min="5960" max="5960" width="17.88671875" style="38" customWidth="1"/>
    <col min="5961" max="5961" width="1" style="38" customWidth="1"/>
    <col min="5962" max="5962" width="2" style="38" customWidth="1"/>
    <col min="5963" max="5963" width="6.44140625" style="38" customWidth="1"/>
    <col min="5964" max="5964" width="17.44140625" style="38" customWidth="1"/>
    <col min="5965" max="5965" width="12.33203125" style="38" customWidth="1"/>
    <col min="5966" max="6074" width="10" style="38"/>
    <col min="6075" max="6075" width="1.88671875" style="38" customWidth="1"/>
    <col min="6076" max="6077" width="1" style="38" customWidth="1"/>
    <col min="6078" max="6078" width="34" style="38" customWidth="1"/>
    <col min="6079" max="6080" width="1" style="38" customWidth="1"/>
    <col min="6081" max="6081" width="17.88671875" style="38" customWidth="1"/>
    <col min="6082" max="6083" width="1" style="38" customWidth="1"/>
    <col min="6084" max="6138" width="0" style="38" hidden="1" customWidth="1"/>
    <col min="6139" max="6140" width="1" style="38" customWidth="1"/>
    <col min="6141" max="6141" width="17.88671875" style="38" customWidth="1"/>
    <col min="6142" max="6145" width="1" style="38" customWidth="1"/>
    <col min="6146" max="6146" width="17.88671875" style="38" customWidth="1"/>
    <col min="6147" max="6150" width="1" style="38" customWidth="1"/>
    <col min="6151" max="6151" width="17.88671875" style="38" customWidth="1"/>
    <col min="6152" max="6153" width="1" style="38" customWidth="1"/>
    <col min="6154" max="6208" width="0" style="38" hidden="1" customWidth="1"/>
    <col min="6209" max="6210" width="1" style="38" customWidth="1"/>
    <col min="6211" max="6211" width="17.88671875" style="38" customWidth="1"/>
    <col min="6212" max="6215" width="1" style="38" customWidth="1"/>
    <col min="6216" max="6216" width="17.88671875" style="38" customWidth="1"/>
    <col min="6217" max="6217" width="1" style="38" customWidth="1"/>
    <col min="6218" max="6218" width="2" style="38" customWidth="1"/>
    <col min="6219" max="6219" width="6.44140625" style="38" customWidth="1"/>
    <col min="6220" max="6220" width="17.44140625" style="38" customWidth="1"/>
    <col min="6221" max="6221" width="12.33203125" style="38" customWidth="1"/>
    <col min="6222" max="6330" width="10" style="38"/>
    <col min="6331" max="6331" width="1.88671875" style="38" customWidth="1"/>
    <col min="6332" max="6333" width="1" style="38" customWidth="1"/>
    <col min="6334" max="6334" width="34" style="38" customWidth="1"/>
    <col min="6335" max="6336" width="1" style="38" customWidth="1"/>
    <col min="6337" max="6337" width="17.88671875" style="38" customWidth="1"/>
    <col min="6338" max="6339" width="1" style="38" customWidth="1"/>
    <col min="6340" max="6394" width="0" style="38" hidden="1" customWidth="1"/>
    <col min="6395" max="6396" width="1" style="38" customWidth="1"/>
    <col min="6397" max="6397" width="17.88671875" style="38" customWidth="1"/>
    <col min="6398" max="6401" width="1" style="38" customWidth="1"/>
    <col min="6402" max="6402" width="17.88671875" style="38" customWidth="1"/>
    <col min="6403" max="6406" width="1" style="38" customWidth="1"/>
    <col min="6407" max="6407" width="17.88671875" style="38" customWidth="1"/>
    <col min="6408" max="6409" width="1" style="38" customWidth="1"/>
    <col min="6410" max="6464" width="0" style="38" hidden="1" customWidth="1"/>
    <col min="6465" max="6466" width="1" style="38" customWidth="1"/>
    <col min="6467" max="6467" width="17.88671875" style="38" customWidth="1"/>
    <col min="6468" max="6471" width="1" style="38" customWidth="1"/>
    <col min="6472" max="6472" width="17.88671875" style="38" customWidth="1"/>
    <col min="6473" max="6473" width="1" style="38" customWidth="1"/>
    <col min="6474" max="6474" width="2" style="38" customWidth="1"/>
    <col min="6475" max="6475" width="6.44140625" style="38" customWidth="1"/>
    <col min="6476" max="6476" width="17.44140625" style="38" customWidth="1"/>
    <col min="6477" max="6477" width="12.33203125" style="38" customWidth="1"/>
    <col min="6478" max="6586" width="10" style="38"/>
    <col min="6587" max="6587" width="1.88671875" style="38" customWidth="1"/>
    <col min="6588" max="6589" width="1" style="38" customWidth="1"/>
    <col min="6590" max="6590" width="34" style="38" customWidth="1"/>
    <col min="6591" max="6592" width="1" style="38" customWidth="1"/>
    <col min="6593" max="6593" width="17.88671875" style="38" customWidth="1"/>
    <col min="6594" max="6595" width="1" style="38" customWidth="1"/>
    <col min="6596" max="6650" width="0" style="38" hidden="1" customWidth="1"/>
    <col min="6651" max="6652" width="1" style="38" customWidth="1"/>
    <col min="6653" max="6653" width="17.88671875" style="38" customWidth="1"/>
    <col min="6654" max="6657" width="1" style="38" customWidth="1"/>
    <col min="6658" max="6658" width="17.88671875" style="38" customWidth="1"/>
    <col min="6659" max="6662" width="1" style="38" customWidth="1"/>
    <col min="6663" max="6663" width="17.88671875" style="38" customWidth="1"/>
    <col min="6664" max="6665" width="1" style="38" customWidth="1"/>
    <col min="6666" max="6720" width="0" style="38" hidden="1" customWidth="1"/>
    <col min="6721" max="6722" width="1" style="38" customWidth="1"/>
    <col min="6723" max="6723" width="17.88671875" style="38" customWidth="1"/>
    <col min="6724" max="6727" width="1" style="38" customWidth="1"/>
    <col min="6728" max="6728" width="17.88671875" style="38" customWidth="1"/>
    <col min="6729" max="6729" width="1" style="38" customWidth="1"/>
    <col min="6730" max="6730" width="2" style="38" customWidth="1"/>
    <col min="6731" max="6731" width="6.44140625" style="38" customWidth="1"/>
    <col min="6732" max="6732" width="17.44140625" style="38" customWidth="1"/>
    <col min="6733" max="6733" width="12.33203125" style="38" customWidth="1"/>
    <col min="6734" max="6842" width="10" style="38"/>
    <col min="6843" max="6843" width="1.88671875" style="38" customWidth="1"/>
    <col min="6844" max="6845" width="1" style="38" customWidth="1"/>
    <col min="6846" max="6846" width="34" style="38" customWidth="1"/>
    <col min="6847" max="6848" width="1" style="38" customWidth="1"/>
    <col min="6849" max="6849" width="17.88671875" style="38" customWidth="1"/>
    <col min="6850" max="6851" width="1" style="38" customWidth="1"/>
    <col min="6852" max="6906" width="0" style="38" hidden="1" customWidth="1"/>
    <col min="6907" max="6908" width="1" style="38" customWidth="1"/>
    <col min="6909" max="6909" width="17.88671875" style="38" customWidth="1"/>
    <col min="6910" max="6913" width="1" style="38" customWidth="1"/>
    <col min="6914" max="6914" width="17.88671875" style="38" customWidth="1"/>
    <col min="6915" max="6918" width="1" style="38" customWidth="1"/>
    <col min="6919" max="6919" width="17.88671875" style="38" customWidth="1"/>
    <col min="6920" max="6921" width="1" style="38" customWidth="1"/>
    <col min="6922" max="6976" width="0" style="38" hidden="1" customWidth="1"/>
    <col min="6977" max="6978" width="1" style="38" customWidth="1"/>
    <col min="6979" max="6979" width="17.88671875" style="38" customWidth="1"/>
    <col min="6980" max="6983" width="1" style="38" customWidth="1"/>
    <col min="6984" max="6984" width="17.88671875" style="38" customWidth="1"/>
    <col min="6985" max="6985" width="1" style="38" customWidth="1"/>
    <col min="6986" max="6986" width="2" style="38" customWidth="1"/>
    <col min="6987" max="6987" width="6.44140625" style="38" customWidth="1"/>
    <col min="6988" max="6988" width="17.44140625" style="38" customWidth="1"/>
    <col min="6989" max="6989" width="12.33203125" style="38" customWidth="1"/>
    <col min="6990" max="7098" width="10" style="38"/>
    <col min="7099" max="7099" width="1.88671875" style="38" customWidth="1"/>
    <col min="7100" max="7101" width="1" style="38" customWidth="1"/>
    <col min="7102" max="7102" width="34" style="38" customWidth="1"/>
    <col min="7103" max="7104" width="1" style="38" customWidth="1"/>
    <col min="7105" max="7105" width="17.88671875" style="38" customWidth="1"/>
    <col min="7106" max="7107" width="1" style="38" customWidth="1"/>
    <col min="7108" max="7162" width="0" style="38" hidden="1" customWidth="1"/>
    <col min="7163" max="7164" width="1" style="38" customWidth="1"/>
    <col min="7165" max="7165" width="17.88671875" style="38" customWidth="1"/>
    <col min="7166" max="7169" width="1" style="38" customWidth="1"/>
    <col min="7170" max="7170" width="17.88671875" style="38" customWidth="1"/>
    <col min="7171" max="7174" width="1" style="38" customWidth="1"/>
    <col min="7175" max="7175" width="17.88671875" style="38" customWidth="1"/>
    <col min="7176" max="7177" width="1" style="38" customWidth="1"/>
    <col min="7178" max="7232" width="0" style="38" hidden="1" customWidth="1"/>
    <col min="7233" max="7234" width="1" style="38" customWidth="1"/>
    <col min="7235" max="7235" width="17.88671875" style="38" customWidth="1"/>
    <col min="7236" max="7239" width="1" style="38" customWidth="1"/>
    <col min="7240" max="7240" width="17.88671875" style="38" customWidth="1"/>
    <col min="7241" max="7241" width="1" style="38" customWidth="1"/>
    <col min="7242" max="7242" width="2" style="38" customWidth="1"/>
    <col min="7243" max="7243" width="6.44140625" style="38" customWidth="1"/>
    <col min="7244" max="7244" width="17.44140625" style="38" customWidth="1"/>
    <col min="7245" max="7245" width="12.33203125" style="38" customWidth="1"/>
    <col min="7246" max="7354" width="10" style="38"/>
    <col min="7355" max="7355" width="1.88671875" style="38" customWidth="1"/>
    <col min="7356" max="7357" width="1" style="38" customWidth="1"/>
    <col min="7358" max="7358" width="34" style="38" customWidth="1"/>
    <col min="7359" max="7360" width="1" style="38" customWidth="1"/>
    <col min="7361" max="7361" width="17.88671875" style="38" customWidth="1"/>
    <col min="7362" max="7363" width="1" style="38" customWidth="1"/>
    <col min="7364" max="7418" width="0" style="38" hidden="1" customWidth="1"/>
    <col min="7419" max="7420" width="1" style="38" customWidth="1"/>
    <col min="7421" max="7421" width="17.88671875" style="38" customWidth="1"/>
    <col min="7422" max="7425" width="1" style="38" customWidth="1"/>
    <col min="7426" max="7426" width="17.88671875" style="38" customWidth="1"/>
    <col min="7427" max="7430" width="1" style="38" customWidth="1"/>
    <col min="7431" max="7431" width="17.88671875" style="38" customWidth="1"/>
    <col min="7432" max="7433" width="1" style="38" customWidth="1"/>
    <col min="7434" max="7488" width="0" style="38" hidden="1" customWidth="1"/>
    <col min="7489" max="7490" width="1" style="38" customWidth="1"/>
    <col min="7491" max="7491" width="17.88671875" style="38" customWidth="1"/>
    <col min="7492" max="7495" width="1" style="38" customWidth="1"/>
    <col min="7496" max="7496" width="17.88671875" style="38" customWidth="1"/>
    <col min="7497" max="7497" width="1" style="38" customWidth="1"/>
    <col min="7498" max="7498" width="2" style="38" customWidth="1"/>
    <col min="7499" max="7499" width="6.44140625" style="38" customWidth="1"/>
    <col min="7500" max="7500" width="17.44140625" style="38" customWidth="1"/>
    <col min="7501" max="7501" width="12.33203125" style="38" customWidth="1"/>
    <col min="7502" max="7610" width="10" style="38"/>
    <col min="7611" max="7611" width="1.88671875" style="38" customWidth="1"/>
    <col min="7612" max="7613" width="1" style="38" customWidth="1"/>
    <col min="7614" max="7614" width="34" style="38" customWidth="1"/>
    <col min="7615" max="7616" width="1" style="38" customWidth="1"/>
    <col min="7617" max="7617" width="17.88671875" style="38" customWidth="1"/>
    <col min="7618" max="7619" width="1" style="38" customWidth="1"/>
    <col min="7620" max="7674" width="0" style="38" hidden="1" customWidth="1"/>
    <col min="7675" max="7676" width="1" style="38" customWidth="1"/>
    <col min="7677" max="7677" width="17.88671875" style="38" customWidth="1"/>
    <col min="7678" max="7681" width="1" style="38" customWidth="1"/>
    <col min="7682" max="7682" width="17.88671875" style="38" customWidth="1"/>
    <col min="7683" max="7686" width="1" style="38" customWidth="1"/>
    <col min="7687" max="7687" width="17.88671875" style="38" customWidth="1"/>
    <col min="7688" max="7689" width="1" style="38" customWidth="1"/>
    <col min="7690" max="7744" width="0" style="38" hidden="1" customWidth="1"/>
    <col min="7745" max="7746" width="1" style="38" customWidth="1"/>
    <col min="7747" max="7747" width="17.88671875" style="38" customWidth="1"/>
    <col min="7748" max="7751" width="1" style="38" customWidth="1"/>
    <col min="7752" max="7752" width="17.88671875" style="38" customWidth="1"/>
    <col min="7753" max="7753" width="1" style="38" customWidth="1"/>
    <col min="7754" max="7754" width="2" style="38" customWidth="1"/>
    <col min="7755" max="7755" width="6.44140625" style="38" customWidth="1"/>
    <col min="7756" max="7756" width="17.44140625" style="38" customWidth="1"/>
    <col min="7757" max="7757" width="12.33203125" style="38" customWidth="1"/>
    <col min="7758" max="7866" width="10" style="38"/>
    <col min="7867" max="7867" width="1.88671875" style="38" customWidth="1"/>
    <col min="7868" max="7869" width="1" style="38" customWidth="1"/>
    <col min="7870" max="7870" width="34" style="38" customWidth="1"/>
    <col min="7871" max="7872" width="1" style="38" customWidth="1"/>
    <col min="7873" max="7873" width="17.88671875" style="38" customWidth="1"/>
    <col min="7874" max="7875" width="1" style="38" customWidth="1"/>
    <col min="7876" max="7930" width="0" style="38" hidden="1" customWidth="1"/>
    <col min="7931" max="7932" width="1" style="38" customWidth="1"/>
    <col min="7933" max="7933" width="17.88671875" style="38" customWidth="1"/>
    <col min="7934" max="7937" width="1" style="38" customWidth="1"/>
    <col min="7938" max="7938" width="17.88671875" style="38" customWidth="1"/>
    <col min="7939" max="7942" width="1" style="38" customWidth="1"/>
    <col min="7943" max="7943" width="17.88671875" style="38" customWidth="1"/>
    <col min="7944" max="7945" width="1" style="38" customWidth="1"/>
    <col min="7946" max="8000" width="0" style="38" hidden="1" customWidth="1"/>
    <col min="8001" max="8002" width="1" style="38" customWidth="1"/>
    <col min="8003" max="8003" width="17.88671875" style="38" customWidth="1"/>
    <col min="8004" max="8007" width="1" style="38" customWidth="1"/>
    <col min="8008" max="8008" width="17.88671875" style="38" customWidth="1"/>
    <col min="8009" max="8009" width="1" style="38" customWidth="1"/>
    <col min="8010" max="8010" width="2" style="38" customWidth="1"/>
    <col min="8011" max="8011" width="6.44140625" style="38" customWidth="1"/>
    <col min="8012" max="8012" width="17.44140625" style="38" customWidth="1"/>
    <col min="8013" max="8013" width="12.33203125" style="38" customWidth="1"/>
    <col min="8014" max="8122" width="10" style="38"/>
    <col min="8123" max="8123" width="1.88671875" style="38" customWidth="1"/>
    <col min="8124" max="8125" width="1" style="38" customWidth="1"/>
    <col min="8126" max="8126" width="34" style="38" customWidth="1"/>
    <col min="8127" max="8128" width="1" style="38" customWidth="1"/>
    <col min="8129" max="8129" width="17.88671875" style="38" customWidth="1"/>
    <col min="8130" max="8131" width="1" style="38" customWidth="1"/>
    <col min="8132" max="8186" width="0" style="38" hidden="1" customWidth="1"/>
    <col min="8187" max="8188" width="1" style="38" customWidth="1"/>
    <col min="8189" max="8189" width="17.88671875" style="38" customWidth="1"/>
    <col min="8190" max="8193" width="1" style="38" customWidth="1"/>
    <col min="8194" max="8194" width="17.88671875" style="38" customWidth="1"/>
    <col min="8195" max="8198" width="1" style="38" customWidth="1"/>
    <col min="8199" max="8199" width="17.88671875" style="38" customWidth="1"/>
    <col min="8200" max="8201" width="1" style="38" customWidth="1"/>
    <col min="8202" max="8256" width="0" style="38" hidden="1" customWidth="1"/>
    <col min="8257" max="8258" width="1" style="38" customWidth="1"/>
    <col min="8259" max="8259" width="17.88671875" style="38" customWidth="1"/>
    <col min="8260" max="8263" width="1" style="38" customWidth="1"/>
    <col min="8264" max="8264" width="17.88671875" style="38" customWidth="1"/>
    <col min="8265" max="8265" width="1" style="38" customWidth="1"/>
    <col min="8266" max="8266" width="2" style="38" customWidth="1"/>
    <col min="8267" max="8267" width="6.44140625" style="38" customWidth="1"/>
    <col min="8268" max="8268" width="17.44140625" style="38" customWidth="1"/>
    <col min="8269" max="8269" width="12.33203125" style="38" customWidth="1"/>
    <col min="8270" max="8378" width="10" style="38"/>
    <col min="8379" max="8379" width="1.88671875" style="38" customWidth="1"/>
    <col min="8380" max="8381" width="1" style="38" customWidth="1"/>
    <col min="8382" max="8382" width="34" style="38" customWidth="1"/>
    <col min="8383" max="8384" width="1" style="38" customWidth="1"/>
    <col min="8385" max="8385" width="17.88671875" style="38" customWidth="1"/>
    <col min="8386" max="8387" width="1" style="38" customWidth="1"/>
    <col min="8388" max="8442" width="0" style="38" hidden="1" customWidth="1"/>
    <col min="8443" max="8444" width="1" style="38" customWidth="1"/>
    <col min="8445" max="8445" width="17.88671875" style="38" customWidth="1"/>
    <col min="8446" max="8449" width="1" style="38" customWidth="1"/>
    <col min="8450" max="8450" width="17.88671875" style="38" customWidth="1"/>
    <col min="8451" max="8454" width="1" style="38" customWidth="1"/>
    <col min="8455" max="8455" width="17.88671875" style="38" customWidth="1"/>
    <col min="8456" max="8457" width="1" style="38" customWidth="1"/>
    <col min="8458" max="8512" width="0" style="38" hidden="1" customWidth="1"/>
    <col min="8513" max="8514" width="1" style="38" customWidth="1"/>
    <col min="8515" max="8515" width="17.88671875" style="38" customWidth="1"/>
    <col min="8516" max="8519" width="1" style="38" customWidth="1"/>
    <col min="8520" max="8520" width="17.88671875" style="38" customWidth="1"/>
    <col min="8521" max="8521" width="1" style="38" customWidth="1"/>
    <col min="8522" max="8522" width="2" style="38" customWidth="1"/>
    <col min="8523" max="8523" width="6.44140625" style="38" customWidth="1"/>
    <col min="8524" max="8524" width="17.44140625" style="38" customWidth="1"/>
    <col min="8525" max="8525" width="12.33203125" style="38" customWidth="1"/>
    <col min="8526" max="8634" width="10" style="38"/>
    <col min="8635" max="8635" width="1.88671875" style="38" customWidth="1"/>
    <col min="8636" max="8637" width="1" style="38" customWidth="1"/>
    <col min="8638" max="8638" width="34" style="38" customWidth="1"/>
    <col min="8639" max="8640" width="1" style="38" customWidth="1"/>
    <col min="8641" max="8641" width="17.88671875" style="38" customWidth="1"/>
    <col min="8642" max="8643" width="1" style="38" customWidth="1"/>
    <col min="8644" max="8698" width="0" style="38" hidden="1" customWidth="1"/>
    <col min="8699" max="8700" width="1" style="38" customWidth="1"/>
    <col min="8701" max="8701" width="17.88671875" style="38" customWidth="1"/>
    <col min="8702" max="8705" width="1" style="38" customWidth="1"/>
    <col min="8706" max="8706" width="17.88671875" style="38" customWidth="1"/>
    <col min="8707" max="8710" width="1" style="38" customWidth="1"/>
    <col min="8711" max="8711" width="17.88671875" style="38" customWidth="1"/>
    <col min="8712" max="8713" width="1" style="38" customWidth="1"/>
    <col min="8714" max="8768" width="0" style="38" hidden="1" customWidth="1"/>
    <col min="8769" max="8770" width="1" style="38" customWidth="1"/>
    <col min="8771" max="8771" width="17.88671875" style="38" customWidth="1"/>
    <col min="8772" max="8775" width="1" style="38" customWidth="1"/>
    <col min="8776" max="8776" width="17.88671875" style="38" customWidth="1"/>
    <col min="8777" max="8777" width="1" style="38" customWidth="1"/>
    <col min="8778" max="8778" width="2" style="38" customWidth="1"/>
    <col min="8779" max="8779" width="6.44140625" style="38" customWidth="1"/>
    <col min="8780" max="8780" width="17.44140625" style="38" customWidth="1"/>
    <col min="8781" max="8781" width="12.33203125" style="38" customWidth="1"/>
    <col min="8782" max="8890" width="10" style="38"/>
    <col min="8891" max="8891" width="1.88671875" style="38" customWidth="1"/>
    <col min="8892" max="8893" width="1" style="38" customWidth="1"/>
    <col min="8894" max="8894" width="34" style="38" customWidth="1"/>
    <col min="8895" max="8896" width="1" style="38" customWidth="1"/>
    <col min="8897" max="8897" width="17.88671875" style="38" customWidth="1"/>
    <col min="8898" max="8899" width="1" style="38" customWidth="1"/>
    <col min="8900" max="8954" width="0" style="38" hidden="1" customWidth="1"/>
    <col min="8955" max="8956" width="1" style="38" customWidth="1"/>
    <col min="8957" max="8957" width="17.88671875" style="38" customWidth="1"/>
    <col min="8958" max="8961" width="1" style="38" customWidth="1"/>
    <col min="8962" max="8962" width="17.88671875" style="38" customWidth="1"/>
    <col min="8963" max="8966" width="1" style="38" customWidth="1"/>
    <col min="8967" max="8967" width="17.88671875" style="38" customWidth="1"/>
    <col min="8968" max="8969" width="1" style="38" customWidth="1"/>
    <col min="8970" max="9024" width="0" style="38" hidden="1" customWidth="1"/>
    <col min="9025" max="9026" width="1" style="38" customWidth="1"/>
    <col min="9027" max="9027" width="17.88671875" style="38" customWidth="1"/>
    <col min="9028" max="9031" width="1" style="38" customWidth="1"/>
    <col min="9032" max="9032" width="17.88671875" style="38" customWidth="1"/>
    <col min="9033" max="9033" width="1" style="38" customWidth="1"/>
    <col min="9034" max="9034" width="2" style="38" customWidth="1"/>
    <col min="9035" max="9035" width="6.44140625" style="38" customWidth="1"/>
    <col min="9036" max="9036" width="17.44140625" style="38" customWidth="1"/>
    <col min="9037" max="9037" width="12.33203125" style="38" customWidth="1"/>
    <col min="9038" max="9146" width="10" style="38"/>
    <col min="9147" max="9147" width="1.88671875" style="38" customWidth="1"/>
    <col min="9148" max="9149" width="1" style="38" customWidth="1"/>
    <col min="9150" max="9150" width="34" style="38" customWidth="1"/>
    <col min="9151" max="9152" width="1" style="38" customWidth="1"/>
    <col min="9153" max="9153" width="17.88671875" style="38" customWidth="1"/>
    <col min="9154" max="9155" width="1" style="38" customWidth="1"/>
    <col min="9156" max="9210" width="0" style="38" hidden="1" customWidth="1"/>
    <col min="9211" max="9212" width="1" style="38" customWidth="1"/>
    <col min="9213" max="9213" width="17.88671875" style="38" customWidth="1"/>
    <col min="9214" max="9217" width="1" style="38" customWidth="1"/>
    <col min="9218" max="9218" width="17.88671875" style="38" customWidth="1"/>
    <col min="9219" max="9222" width="1" style="38" customWidth="1"/>
    <col min="9223" max="9223" width="17.88671875" style="38" customWidth="1"/>
    <col min="9224" max="9225" width="1" style="38" customWidth="1"/>
    <col min="9226" max="9280" width="0" style="38" hidden="1" customWidth="1"/>
    <col min="9281" max="9282" width="1" style="38" customWidth="1"/>
    <col min="9283" max="9283" width="17.88671875" style="38" customWidth="1"/>
    <col min="9284" max="9287" width="1" style="38" customWidth="1"/>
    <col min="9288" max="9288" width="17.88671875" style="38" customWidth="1"/>
    <col min="9289" max="9289" width="1" style="38" customWidth="1"/>
    <col min="9290" max="9290" width="2" style="38" customWidth="1"/>
    <col min="9291" max="9291" width="6.44140625" style="38" customWidth="1"/>
    <col min="9292" max="9292" width="17.44140625" style="38" customWidth="1"/>
    <col min="9293" max="9293" width="12.33203125" style="38" customWidth="1"/>
    <col min="9294" max="9402" width="10" style="38"/>
    <col min="9403" max="9403" width="1.88671875" style="38" customWidth="1"/>
    <col min="9404" max="9405" width="1" style="38" customWidth="1"/>
    <col min="9406" max="9406" width="34" style="38" customWidth="1"/>
    <col min="9407" max="9408" width="1" style="38" customWidth="1"/>
    <col min="9409" max="9409" width="17.88671875" style="38" customWidth="1"/>
    <col min="9410" max="9411" width="1" style="38" customWidth="1"/>
    <col min="9412" max="9466" width="0" style="38" hidden="1" customWidth="1"/>
    <col min="9467" max="9468" width="1" style="38" customWidth="1"/>
    <col min="9469" max="9469" width="17.88671875" style="38" customWidth="1"/>
    <col min="9470" max="9473" width="1" style="38" customWidth="1"/>
    <col min="9474" max="9474" width="17.88671875" style="38" customWidth="1"/>
    <col min="9475" max="9478" width="1" style="38" customWidth="1"/>
    <col min="9479" max="9479" width="17.88671875" style="38" customWidth="1"/>
    <col min="9480" max="9481" width="1" style="38" customWidth="1"/>
    <col min="9482" max="9536" width="0" style="38" hidden="1" customWidth="1"/>
    <col min="9537" max="9538" width="1" style="38" customWidth="1"/>
    <col min="9539" max="9539" width="17.88671875" style="38" customWidth="1"/>
    <col min="9540" max="9543" width="1" style="38" customWidth="1"/>
    <col min="9544" max="9544" width="17.88671875" style="38" customWidth="1"/>
    <col min="9545" max="9545" width="1" style="38" customWidth="1"/>
    <col min="9546" max="9546" width="2" style="38" customWidth="1"/>
    <col min="9547" max="9547" width="6.44140625" style="38" customWidth="1"/>
    <col min="9548" max="9548" width="17.44140625" style="38" customWidth="1"/>
    <col min="9549" max="9549" width="12.33203125" style="38" customWidth="1"/>
    <col min="9550" max="9658" width="10" style="38"/>
    <col min="9659" max="9659" width="1.88671875" style="38" customWidth="1"/>
    <col min="9660" max="9661" width="1" style="38" customWidth="1"/>
    <col min="9662" max="9662" width="34" style="38" customWidth="1"/>
    <col min="9663" max="9664" width="1" style="38" customWidth="1"/>
    <col min="9665" max="9665" width="17.88671875" style="38" customWidth="1"/>
    <col min="9666" max="9667" width="1" style="38" customWidth="1"/>
    <col min="9668" max="9722" width="0" style="38" hidden="1" customWidth="1"/>
    <col min="9723" max="9724" width="1" style="38" customWidth="1"/>
    <col min="9725" max="9725" width="17.88671875" style="38" customWidth="1"/>
    <col min="9726" max="9729" width="1" style="38" customWidth="1"/>
    <col min="9730" max="9730" width="17.88671875" style="38" customWidth="1"/>
    <col min="9731" max="9734" width="1" style="38" customWidth="1"/>
    <col min="9735" max="9735" width="17.88671875" style="38" customWidth="1"/>
    <col min="9736" max="9737" width="1" style="38" customWidth="1"/>
    <col min="9738" max="9792" width="0" style="38" hidden="1" customWidth="1"/>
    <col min="9793" max="9794" width="1" style="38" customWidth="1"/>
    <col min="9795" max="9795" width="17.88671875" style="38" customWidth="1"/>
    <col min="9796" max="9799" width="1" style="38" customWidth="1"/>
    <col min="9800" max="9800" width="17.88671875" style="38" customWidth="1"/>
    <col min="9801" max="9801" width="1" style="38" customWidth="1"/>
    <col min="9802" max="9802" width="2" style="38" customWidth="1"/>
    <col min="9803" max="9803" width="6.44140625" style="38" customWidth="1"/>
    <col min="9804" max="9804" width="17.44140625" style="38" customWidth="1"/>
    <col min="9805" max="9805" width="12.33203125" style="38" customWidth="1"/>
    <col min="9806" max="9914" width="10" style="38"/>
    <col min="9915" max="9915" width="1.88671875" style="38" customWidth="1"/>
    <col min="9916" max="9917" width="1" style="38" customWidth="1"/>
    <col min="9918" max="9918" width="34" style="38" customWidth="1"/>
    <col min="9919" max="9920" width="1" style="38" customWidth="1"/>
    <col min="9921" max="9921" width="17.88671875" style="38" customWidth="1"/>
    <col min="9922" max="9923" width="1" style="38" customWidth="1"/>
    <col min="9924" max="9978" width="0" style="38" hidden="1" customWidth="1"/>
    <col min="9979" max="9980" width="1" style="38" customWidth="1"/>
    <col min="9981" max="9981" width="17.88671875" style="38" customWidth="1"/>
    <col min="9982" max="9985" width="1" style="38" customWidth="1"/>
    <col min="9986" max="9986" width="17.88671875" style="38" customWidth="1"/>
    <col min="9987" max="9990" width="1" style="38" customWidth="1"/>
    <col min="9991" max="9991" width="17.88671875" style="38" customWidth="1"/>
    <col min="9992" max="9993" width="1" style="38" customWidth="1"/>
    <col min="9994" max="10048" width="0" style="38" hidden="1" customWidth="1"/>
    <col min="10049" max="10050" width="1" style="38" customWidth="1"/>
    <col min="10051" max="10051" width="17.88671875" style="38" customWidth="1"/>
    <col min="10052" max="10055" width="1" style="38" customWidth="1"/>
    <col min="10056" max="10056" width="17.88671875" style="38" customWidth="1"/>
    <col min="10057" max="10057" width="1" style="38" customWidth="1"/>
    <col min="10058" max="10058" width="2" style="38" customWidth="1"/>
    <col min="10059" max="10059" width="6.44140625" style="38" customWidth="1"/>
    <col min="10060" max="10060" width="17.44140625" style="38" customWidth="1"/>
    <col min="10061" max="10061" width="12.33203125" style="38" customWidth="1"/>
    <col min="10062" max="10170" width="10" style="38"/>
    <col min="10171" max="10171" width="1.88671875" style="38" customWidth="1"/>
    <col min="10172" max="10173" width="1" style="38" customWidth="1"/>
    <col min="10174" max="10174" width="34" style="38" customWidth="1"/>
    <col min="10175" max="10176" width="1" style="38" customWidth="1"/>
    <col min="10177" max="10177" width="17.88671875" style="38" customWidth="1"/>
    <col min="10178" max="10179" width="1" style="38" customWidth="1"/>
    <col min="10180" max="10234" width="0" style="38" hidden="1" customWidth="1"/>
    <col min="10235" max="10236" width="1" style="38" customWidth="1"/>
    <col min="10237" max="10237" width="17.88671875" style="38" customWidth="1"/>
    <col min="10238" max="10241" width="1" style="38" customWidth="1"/>
    <col min="10242" max="10242" width="17.88671875" style="38" customWidth="1"/>
    <col min="10243" max="10246" width="1" style="38" customWidth="1"/>
    <col min="10247" max="10247" width="17.88671875" style="38" customWidth="1"/>
    <col min="10248" max="10249" width="1" style="38" customWidth="1"/>
    <col min="10250" max="10304" width="0" style="38" hidden="1" customWidth="1"/>
    <col min="10305" max="10306" width="1" style="38" customWidth="1"/>
    <col min="10307" max="10307" width="17.88671875" style="38" customWidth="1"/>
    <col min="10308" max="10311" width="1" style="38" customWidth="1"/>
    <col min="10312" max="10312" width="17.88671875" style="38" customWidth="1"/>
    <col min="10313" max="10313" width="1" style="38" customWidth="1"/>
    <col min="10314" max="10314" width="2" style="38" customWidth="1"/>
    <col min="10315" max="10315" width="6.44140625" style="38" customWidth="1"/>
    <col min="10316" max="10316" width="17.44140625" style="38" customWidth="1"/>
    <col min="10317" max="10317" width="12.33203125" style="38" customWidth="1"/>
    <col min="10318" max="10426" width="10" style="38"/>
    <col min="10427" max="10427" width="1.88671875" style="38" customWidth="1"/>
    <col min="10428" max="10429" width="1" style="38" customWidth="1"/>
    <col min="10430" max="10430" width="34" style="38" customWidth="1"/>
    <col min="10431" max="10432" width="1" style="38" customWidth="1"/>
    <col min="10433" max="10433" width="17.88671875" style="38" customWidth="1"/>
    <col min="10434" max="10435" width="1" style="38" customWidth="1"/>
    <col min="10436" max="10490" width="0" style="38" hidden="1" customWidth="1"/>
    <col min="10491" max="10492" width="1" style="38" customWidth="1"/>
    <col min="10493" max="10493" width="17.88671875" style="38" customWidth="1"/>
    <col min="10494" max="10497" width="1" style="38" customWidth="1"/>
    <col min="10498" max="10498" width="17.88671875" style="38" customWidth="1"/>
    <col min="10499" max="10502" width="1" style="38" customWidth="1"/>
    <col min="10503" max="10503" width="17.88671875" style="38" customWidth="1"/>
    <col min="10504" max="10505" width="1" style="38" customWidth="1"/>
    <col min="10506" max="10560" width="0" style="38" hidden="1" customWidth="1"/>
    <col min="10561" max="10562" width="1" style="38" customWidth="1"/>
    <col min="10563" max="10563" width="17.88671875" style="38" customWidth="1"/>
    <col min="10564" max="10567" width="1" style="38" customWidth="1"/>
    <col min="10568" max="10568" width="17.88671875" style="38" customWidth="1"/>
    <col min="10569" max="10569" width="1" style="38" customWidth="1"/>
    <col min="10570" max="10570" width="2" style="38" customWidth="1"/>
    <col min="10571" max="10571" width="6.44140625" style="38" customWidth="1"/>
    <col min="10572" max="10572" width="17.44140625" style="38" customWidth="1"/>
    <col min="10573" max="10573" width="12.33203125" style="38" customWidth="1"/>
    <col min="10574" max="10682" width="10" style="38"/>
    <col min="10683" max="10683" width="1.88671875" style="38" customWidth="1"/>
    <col min="10684" max="10685" width="1" style="38" customWidth="1"/>
    <col min="10686" max="10686" width="34" style="38" customWidth="1"/>
    <col min="10687" max="10688" width="1" style="38" customWidth="1"/>
    <col min="10689" max="10689" width="17.88671875" style="38" customWidth="1"/>
    <col min="10690" max="10691" width="1" style="38" customWidth="1"/>
    <col min="10692" max="10746" width="0" style="38" hidden="1" customWidth="1"/>
    <col min="10747" max="10748" width="1" style="38" customWidth="1"/>
    <col min="10749" max="10749" width="17.88671875" style="38" customWidth="1"/>
    <col min="10750" max="10753" width="1" style="38" customWidth="1"/>
    <col min="10754" max="10754" width="17.88671875" style="38" customWidth="1"/>
    <col min="10755" max="10758" width="1" style="38" customWidth="1"/>
    <col min="10759" max="10759" width="17.88671875" style="38" customWidth="1"/>
    <col min="10760" max="10761" width="1" style="38" customWidth="1"/>
    <col min="10762" max="10816" width="0" style="38" hidden="1" customWidth="1"/>
    <col min="10817" max="10818" width="1" style="38" customWidth="1"/>
    <col min="10819" max="10819" width="17.88671875" style="38" customWidth="1"/>
    <col min="10820" max="10823" width="1" style="38" customWidth="1"/>
    <col min="10824" max="10824" width="17.88671875" style="38" customWidth="1"/>
    <col min="10825" max="10825" width="1" style="38" customWidth="1"/>
    <col min="10826" max="10826" width="2" style="38" customWidth="1"/>
    <col min="10827" max="10827" width="6.44140625" style="38" customWidth="1"/>
    <col min="10828" max="10828" width="17.44140625" style="38" customWidth="1"/>
    <col min="10829" max="10829" width="12.33203125" style="38" customWidth="1"/>
    <col min="10830" max="10938" width="10" style="38"/>
    <col min="10939" max="10939" width="1.88671875" style="38" customWidth="1"/>
    <col min="10940" max="10941" width="1" style="38" customWidth="1"/>
    <col min="10942" max="10942" width="34" style="38" customWidth="1"/>
    <col min="10943" max="10944" width="1" style="38" customWidth="1"/>
    <col min="10945" max="10945" width="17.88671875" style="38" customWidth="1"/>
    <col min="10946" max="10947" width="1" style="38" customWidth="1"/>
    <col min="10948" max="11002" width="0" style="38" hidden="1" customWidth="1"/>
    <col min="11003" max="11004" width="1" style="38" customWidth="1"/>
    <col min="11005" max="11005" width="17.88671875" style="38" customWidth="1"/>
    <col min="11006" max="11009" width="1" style="38" customWidth="1"/>
    <col min="11010" max="11010" width="17.88671875" style="38" customWidth="1"/>
    <col min="11011" max="11014" width="1" style="38" customWidth="1"/>
    <col min="11015" max="11015" width="17.88671875" style="38" customWidth="1"/>
    <col min="11016" max="11017" width="1" style="38" customWidth="1"/>
    <col min="11018" max="11072" width="0" style="38" hidden="1" customWidth="1"/>
    <col min="11073" max="11074" width="1" style="38" customWidth="1"/>
    <col min="11075" max="11075" width="17.88671875" style="38" customWidth="1"/>
    <col min="11076" max="11079" width="1" style="38" customWidth="1"/>
    <col min="11080" max="11080" width="17.88671875" style="38" customWidth="1"/>
    <col min="11081" max="11081" width="1" style="38" customWidth="1"/>
    <col min="11082" max="11082" width="2" style="38" customWidth="1"/>
    <col min="11083" max="11083" width="6.44140625" style="38" customWidth="1"/>
    <col min="11084" max="11084" width="17.44140625" style="38" customWidth="1"/>
    <col min="11085" max="11085" width="12.33203125" style="38" customWidth="1"/>
    <col min="11086" max="11194" width="10" style="38"/>
    <col min="11195" max="11195" width="1.88671875" style="38" customWidth="1"/>
    <col min="11196" max="11197" width="1" style="38" customWidth="1"/>
    <col min="11198" max="11198" width="34" style="38" customWidth="1"/>
    <col min="11199" max="11200" width="1" style="38" customWidth="1"/>
    <col min="11201" max="11201" width="17.88671875" style="38" customWidth="1"/>
    <col min="11202" max="11203" width="1" style="38" customWidth="1"/>
    <col min="11204" max="11258" width="0" style="38" hidden="1" customWidth="1"/>
    <col min="11259" max="11260" width="1" style="38" customWidth="1"/>
    <col min="11261" max="11261" width="17.88671875" style="38" customWidth="1"/>
    <col min="11262" max="11265" width="1" style="38" customWidth="1"/>
    <col min="11266" max="11266" width="17.88671875" style="38" customWidth="1"/>
    <col min="11267" max="11270" width="1" style="38" customWidth="1"/>
    <col min="11271" max="11271" width="17.88671875" style="38" customWidth="1"/>
    <col min="11272" max="11273" width="1" style="38" customWidth="1"/>
    <col min="11274" max="11328" width="0" style="38" hidden="1" customWidth="1"/>
    <col min="11329" max="11330" width="1" style="38" customWidth="1"/>
    <col min="11331" max="11331" width="17.88671875" style="38" customWidth="1"/>
    <col min="11332" max="11335" width="1" style="38" customWidth="1"/>
    <col min="11336" max="11336" width="17.88671875" style="38" customWidth="1"/>
    <col min="11337" max="11337" width="1" style="38" customWidth="1"/>
    <col min="11338" max="11338" width="2" style="38" customWidth="1"/>
    <col min="11339" max="11339" width="6.44140625" style="38" customWidth="1"/>
    <col min="11340" max="11340" width="17.44140625" style="38" customWidth="1"/>
    <col min="11341" max="11341" width="12.33203125" style="38" customWidth="1"/>
    <col min="11342" max="11450" width="10" style="38"/>
    <col min="11451" max="11451" width="1.88671875" style="38" customWidth="1"/>
    <col min="11452" max="11453" width="1" style="38" customWidth="1"/>
    <col min="11454" max="11454" width="34" style="38" customWidth="1"/>
    <col min="11455" max="11456" width="1" style="38" customWidth="1"/>
    <col min="11457" max="11457" width="17.88671875" style="38" customWidth="1"/>
    <col min="11458" max="11459" width="1" style="38" customWidth="1"/>
    <col min="11460" max="11514" width="0" style="38" hidden="1" customWidth="1"/>
    <col min="11515" max="11516" width="1" style="38" customWidth="1"/>
    <col min="11517" max="11517" width="17.88671875" style="38" customWidth="1"/>
    <col min="11518" max="11521" width="1" style="38" customWidth="1"/>
    <col min="11522" max="11522" width="17.88671875" style="38" customWidth="1"/>
    <col min="11523" max="11526" width="1" style="38" customWidth="1"/>
    <col min="11527" max="11527" width="17.88671875" style="38" customWidth="1"/>
    <col min="11528" max="11529" width="1" style="38" customWidth="1"/>
    <col min="11530" max="11584" width="0" style="38" hidden="1" customWidth="1"/>
    <col min="11585" max="11586" width="1" style="38" customWidth="1"/>
    <col min="11587" max="11587" width="17.88671875" style="38" customWidth="1"/>
    <col min="11588" max="11591" width="1" style="38" customWidth="1"/>
    <col min="11592" max="11592" width="17.88671875" style="38" customWidth="1"/>
    <col min="11593" max="11593" width="1" style="38" customWidth="1"/>
    <col min="11594" max="11594" width="2" style="38" customWidth="1"/>
    <col min="11595" max="11595" width="6.44140625" style="38" customWidth="1"/>
    <col min="11596" max="11596" width="17.44140625" style="38" customWidth="1"/>
    <col min="11597" max="11597" width="12.33203125" style="38" customWidth="1"/>
    <col min="11598" max="11706" width="10" style="38"/>
    <col min="11707" max="11707" width="1.88671875" style="38" customWidth="1"/>
    <col min="11708" max="11709" width="1" style="38" customWidth="1"/>
    <col min="11710" max="11710" width="34" style="38" customWidth="1"/>
    <col min="11711" max="11712" width="1" style="38" customWidth="1"/>
    <col min="11713" max="11713" width="17.88671875" style="38" customWidth="1"/>
    <col min="11714" max="11715" width="1" style="38" customWidth="1"/>
    <col min="11716" max="11770" width="0" style="38" hidden="1" customWidth="1"/>
    <col min="11771" max="11772" width="1" style="38" customWidth="1"/>
    <col min="11773" max="11773" width="17.88671875" style="38" customWidth="1"/>
    <col min="11774" max="11777" width="1" style="38" customWidth="1"/>
    <col min="11778" max="11778" width="17.88671875" style="38" customWidth="1"/>
    <col min="11779" max="11782" width="1" style="38" customWidth="1"/>
    <col min="11783" max="11783" width="17.88671875" style="38" customWidth="1"/>
    <col min="11784" max="11785" width="1" style="38" customWidth="1"/>
    <col min="11786" max="11840" width="0" style="38" hidden="1" customWidth="1"/>
    <col min="11841" max="11842" width="1" style="38" customWidth="1"/>
    <col min="11843" max="11843" width="17.88671875" style="38" customWidth="1"/>
    <col min="11844" max="11847" width="1" style="38" customWidth="1"/>
    <col min="11848" max="11848" width="17.88671875" style="38" customWidth="1"/>
    <col min="11849" max="11849" width="1" style="38" customWidth="1"/>
    <col min="11850" max="11850" width="2" style="38" customWidth="1"/>
    <col min="11851" max="11851" width="6.44140625" style="38" customWidth="1"/>
    <col min="11852" max="11852" width="17.44140625" style="38" customWidth="1"/>
    <col min="11853" max="11853" width="12.33203125" style="38" customWidth="1"/>
    <col min="11854" max="11962" width="10" style="38"/>
    <col min="11963" max="11963" width="1.88671875" style="38" customWidth="1"/>
    <col min="11964" max="11965" width="1" style="38" customWidth="1"/>
    <col min="11966" max="11966" width="34" style="38" customWidth="1"/>
    <col min="11967" max="11968" width="1" style="38" customWidth="1"/>
    <col min="11969" max="11969" width="17.88671875" style="38" customWidth="1"/>
    <col min="11970" max="11971" width="1" style="38" customWidth="1"/>
    <col min="11972" max="12026" width="0" style="38" hidden="1" customWidth="1"/>
    <col min="12027" max="12028" width="1" style="38" customWidth="1"/>
    <col min="12029" max="12029" width="17.88671875" style="38" customWidth="1"/>
    <col min="12030" max="12033" width="1" style="38" customWidth="1"/>
    <col min="12034" max="12034" width="17.88671875" style="38" customWidth="1"/>
    <col min="12035" max="12038" width="1" style="38" customWidth="1"/>
    <col min="12039" max="12039" width="17.88671875" style="38" customWidth="1"/>
    <col min="12040" max="12041" width="1" style="38" customWidth="1"/>
    <col min="12042" max="12096" width="0" style="38" hidden="1" customWidth="1"/>
    <col min="12097" max="12098" width="1" style="38" customWidth="1"/>
    <col min="12099" max="12099" width="17.88671875" style="38" customWidth="1"/>
    <col min="12100" max="12103" width="1" style="38" customWidth="1"/>
    <col min="12104" max="12104" width="17.88671875" style="38" customWidth="1"/>
    <col min="12105" max="12105" width="1" style="38" customWidth="1"/>
    <col min="12106" max="12106" width="2" style="38" customWidth="1"/>
    <col min="12107" max="12107" width="6.44140625" style="38" customWidth="1"/>
    <col min="12108" max="12108" width="17.44140625" style="38" customWidth="1"/>
    <col min="12109" max="12109" width="12.33203125" style="38" customWidth="1"/>
    <col min="12110" max="12218" width="10" style="38"/>
    <col min="12219" max="12219" width="1.88671875" style="38" customWidth="1"/>
    <col min="12220" max="12221" width="1" style="38" customWidth="1"/>
    <col min="12222" max="12222" width="34" style="38" customWidth="1"/>
    <col min="12223" max="12224" width="1" style="38" customWidth="1"/>
    <col min="12225" max="12225" width="17.88671875" style="38" customWidth="1"/>
    <col min="12226" max="12227" width="1" style="38" customWidth="1"/>
    <col min="12228" max="12282" width="0" style="38" hidden="1" customWidth="1"/>
    <col min="12283" max="12284" width="1" style="38" customWidth="1"/>
    <col min="12285" max="12285" width="17.88671875" style="38" customWidth="1"/>
    <col min="12286" max="12289" width="1" style="38" customWidth="1"/>
    <col min="12290" max="12290" width="17.88671875" style="38" customWidth="1"/>
    <col min="12291" max="12294" width="1" style="38" customWidth="1"/>
    <col min="12295" max="12295" width="17.88671875" style="38" customWidth="1"/>
    <col min="12296" max="12297" width="1" style="38" customWidth="1"/>
    <col min="12298" max="12352" width="0" style="38" hidden="1" customWidth="1"/>
    <col min="12353" max="12354" width="1" style="38" customWidth="1"/>
    <col min="12355" max="12355" width="17.88671875" style="38" customWidth="1"/>
    <col min="12356" max="12359" width="1" style="38" customWidth="1"/>
    <col min="12360" max="12360" width="17.88671875" style="38" customWidth="1"/>
    <col min="12361" max="12361" width="1" style="38" customWidth="1"/>
    <col min="12362" max="12362" width="2" style="38" customWidth="1"/>
    <col min="12363" max="12363" width="6.44140625" style="38" customWidth="1"/>
    <col min="12364" max="12364" width="17.44140625" style="38" customWidth="1"/>
    <col min="12365" max="12365" width="12.33203125" style="38" customWidth="1"/>
    <col min="12366" max="12474" width="10" style="38"/>
    <col min="12475" max="12475" width="1.88671875" style="38" customWidth="1"/>
    <col min="12476" max="12477" width="1" style="38" customWidth="1"/>
    <col min="12478" max="12478" width="34" style="38" customWidth="1"/>
    <col min="12479" max="12480" width="1" style="38" customWidth="1"/>
    <col min="12481" max="12481" width="17.88671875" style="38" customWidth="1"/>
    <col min="12482" max="12483" width="1" style="38" customWidth="1"/>
    <col min="12484" max="12538" width="0" style="38" hidden="1" customWidth="1"/>
    <col min="12539" max="12540" width="1" style="38" customWidth="1"/>
    <col min="12541" max="12541" width="17.88671875" style="38" customWidth="1"/>
    <col min="12542" max="12545" width="1" style="38" customWidth="1"/>
    <col min="12546" max="12546" width="17.88671875" style="38" customWidth="1"/>
    <col min="12547" max="12550" width="1" style="38" customWidth="1"/>
    <col min="12551" max="12551" width="17.88671875" style="38" customWidth="1"/>
    <col min="12552" max="12553" width="1" style="38" customWidth="1"/>
    <col min="12554" max="12608" width="0" style="38" hidden="1" customWidth="1"/>
    <col min="12609" max="12610" width="1" style="38" customWidth="1"/>
    <col min="12611" max="12611" width="17.88671875" style="38" customWidth="1"/>
    <col min="12612" max="12615" width="1" style="38" customWidth="1"/>
    <col min="12616" max="12616" width="17.88671875" style="38" customWidth="1"/>
    <col min="12617" max="12617" width="1" style="38" customWidth="1"/>
    <col min="12618" max="12618" width="2" style="38" customWidth="1"/>
    <col min="12619" max="12619" width="6.44140625" style="38" customWidth="1"/>
    <col min="12620" max="12620" width="17.44140625" style="38" customWidth="1"/>
    <col min="12621" max="12621" width="12.33203125" style="38" customWidth="1"/>
    <col min="12622" max="12730" width="10" style="38"/>
    <col min="12731" max="12731" width="1.88671875" style="38" customWidth="1"/>
    <col min="12732" max="12733" width="1" style="38" customWidth="1"/>
    <col min="12734" max="12734" width="34" style="38" customWidth="1"/>
    <col min="12735" max="12736" width="1" style="38" customWidth="1"/>
    <col min="12737" max="12737" width="17.88671875" style="38" customWidth="1"/>
    <col min="12738" max="12739" width="1" style="38" customWidth="1"/>
    <col min="12740" max="12794" width="0" style="38" hidden="1" customWidth="1"/>
    <col min="12795" max="12796" width="1" style="38" customWidth="1"/>
    <col min="12797" max="12797" width="17.88671875" style="38" customWidth="1"/>
    <col min="12798" max="12801" width="1" style="38" customWidth="1"/>
    <col min="12802" max="12802" width="17.88671875" style="38" customWidth="1"/>
    <col min="12803" max="12806" width="1" style="38" customWidth="1"/>
    <col min="12807" max="12807" width="17.88671875" style="38" customWidth="1"/>
    <col min="12808" max="12809" width="1" style="38" customWidth="1"/>
    <col min="12810" max="12864" width="0" style="38" hidden="1" customWidth="1"/>
    <col min="12865" max="12866" width="1" style="38" customWidth="1"/>
    <col min="12867" max="12867" width="17.88671875" style="38" customWidth="1"/>
    <col min="12868" max="12871" width="1" style="38" customWidth="1"/>
    <col min="12872" max="12872" width="17.88671875" style="38" customWidth="1"/>
    <col min="12873" max="12873" width="1" style="38" customWidth="1"/>
    <col min="12874" max="12874" width="2" style="38" customWidth="1"/>
    <col min="12875" max="12875" width="6.44140625" style="38" customWidth="1"/>
    <col min="12876" max="12876" width="17.44140625" style="38" customWidth="1"/>
    <col min="12877" max="12877" width="12.33203125" style="38" customWidth="1"/>
    <col min="12878" max="12986" width="10" style="38"/>
    <col min="12987" max="12987" width="1.88671875" style="38" customWidth="1"/>
    <col min="12988" max="12989" width="1" style="38" customWidth="1"/>
    <col min="12990" max="12990" width="34" style="38" customWidth="1"/>
    <col min="12991" max="12992" width="1" style="38" customWidth="1"/>
    <col min="12993" max="12993" width="17.88671875" style="38" customWidth="1"/>
    <col min="12994" max="12995" width="1" style="38" customWidth="1"/>
    <col min="12996" max="13050" width="0" style="38" hidden="1" customWidth="1"/>
    <col min="13051" max="13052" width="1" style="38" customWidth="1"/>
    <col min="13053" max="13053" width="17.88671875" style="38" customWidth="1"/>
    <col min="13054" max="13057" width="1" style="38" customWidth="1"/>
    <col min="13058" max="13058" width="17.88671875" style="38" customWidth="1"/>
    <col min="13059" max="13062" width="1" style="38" customWidth="1"/>
    <col min="13063" max="13063" width="17.88671875" style="38" customWidth="1"/>
    <col min="13064" max="13065" width="1" style="38" customWidth="1"/>
    <col min="13066" max="13120" width="0" style="38" hidden="1" customWidth="1"/>
    <col min="13121" max="13122" width="1" style="38" customWidth="1"/>
    <col min="13123" max="13123" width="17.88671875" style="38" customWidth="1"/>
    <col min="13124" max="13127" width="1" style="38" customWidth="1"/>
    <col min="13128" max="13128" width="17.88671875" style="38" customWidth="1"/>
    <col min="13129" max="13129" width="1" style="38" customWidth="1"/>
    <col min="13130" max="13130" width="2" style="38" customWidth="1"/>
    <col min="13131" max="13131" width="6.44140625" style="38" customWidth="1"/>
    <col min="13132" max="13132" width="17.44140625" style="38" customWidth="1"/>
    <col min="13133" max="13133" width="12.33203125" style="38" customWidth="1"/>
    <col min="13134" max="13242" width="10" style="38"/>
    <col min="13243" max="13243" width="1.88671875" style="38" customWidth="1"/>
    <col min="13244" max="13245" width="1" style="38" customWidth="1"/>
    <col min="13246" max="13246" width="34" style="38" customWidth="1"/>
    <col min="13247" max="13248" width="1" style="38" customWidth="1"/>
    <col min="13249" max="13249" width="17.88671875" style="38" customWidth="1"/>
    <col min="13250" max="13251" width="1" style="38" customWidth="1"/>
    <col min="13252" max="13306" width="0" style="38" hidden="1" customWidth="1"/>
    <col min="13307" max="13308" width="1" style="38" customWidth="1"/>
    <col min="13309" max="13309" width="17.88671875" style="38" customWidth="1"/>
    <col min="13310" max="13313" width="1" style="38" customWidth="1"/>
    <col min="13314" max="13314" width="17.88671875" style="38" customWidth="1"/>
    <col min="13315" max="13318" width="1" style="38" customWidth="1"/>
    <col min="13319" max="13319" width="17.88671875" style="38" customWidth="1"/>
    <col min="13320" max="13321" width="1" style="38" customWidth="1"/>
    <col min="13322" max="13376" width="0" style="38" hidden="1" customWidth="1"/>
    <col min="13377" max="13378" width="1" style="38" customWidth="1"/>
    <col min="13379" max="13379" width="17.88671875" style="38" customWidth="1"/>
    <col min="13380" max="13383" width="1" style="38" customWidth="1"/>
    <col min="13384" max="13384" width="17.88671875" style="38" customWidth="1"/>
    <col min="13385" max="13385" width="1" style="38" customWidth="1"/>
    <col min="13386" max="13386" width="2" style="38" customWidth="1"/>
    <col min="13387" max="13387" width="6.44140625" style="38" customWidth="1"/>
    <col min="13388" max="13388" width="17.44140625" style="38" customWidth="1"/>
    <col min="13389" max="13389" width="12.33203125" style="38" customWidth="1"/>
    <col min="13390" max="13498" width="10" style="38"/>
    <col min="13499" max="13499" width="1.88671875" style="38" customWidth="1"/>
    <col min="13500" max="13501" width="1" style="38" customWidth="1"/>
    <col min="13502" max="13502" width="34" style="38" customWidth="1"/>
    <col min="13503" max="13504" width="1" style="38" customWidth="1"/>
    <col min="13505" max="13505" width="17.88671875" style="38" customWidth="1"/>
    <col min="13506" max="13507" width="1" style="38" customWidth="1"/>
    <col min="13508" max="13562" width="0" style="38" hidden="1" customWidth="1"/>
    <col min="13563" max="13564" width="1" style="38" customWidth="1"/>
    <col min="13565" max="13565" width="17.88671875" style="38" customWidth="1"/>
    <col min="13566" max="13569" width="1" style="38" customWidth="1"/>
    <col min="13570" max="13570" width="17.88671875" style="38" customWidth="1"/>
    <col min="13571" max="13574" width="1" style="38" customWidth="1"/>
    <col min="13575" max="13575" width="17.88671875" style="38" customWidth="1"/>
    <col min="13576" max="13577" width="1" style="38" customWidth="1"/>
    <col min="13578" max="13632" width="0" style="38" hidden="1" customWidth="1"/>
    <col min="13633" max="13634" width="1" style="38" customWidth="1"/>
    <col min="13635" max="13635" width="17.88671875" style="38" customWidth="1"/>
    <col min="13636" max="13639" width="1" style="38" customWidth="1"/>
    <col min="13640" max="13640" width="17.88671875" style="38" customWidth="1"/>
    <col min="13641" max="13641" width="1" style="38" customWidth="1"/>
    <col min="13642" max="13642" width="2" style="38" customWidth="1"/>
    <col min="13643" max="13643" width="6.44140625" style="38" customWidth="1"/>
    <col min="13644" max="13644" width="17.44140625" style="38" customWidth="1"/>
    <col min="13645" max="13645" width="12.33203125" style="38" customWidth="1"/>
    <col min="13646" max="13754" width="10" style="38"/>
    <col min="13755" max="13755" width="1.88671875" style="38" customWidth="1"/>
    <col min="13756" max="13757" width="1" style="38" customWidth="1"/>
    <col min="13758" max="13758" width="34" style="38" customWidth="1"/>
    <col min="13759" max="13760" width="1" style="38" customWidth="1"/>
    <col min="13761" max="13761" width="17.88671875" style="38" customWidth="1"/>
    <col min="13762" max="13763" width="1" style="38" customWidth="1"/>
    <col min="13764" max="13818" width="0" style="38" hidden="1" customWidth="1"/>
    <col min="13819" max="13820" width="1" style="38" customWidth="1"/>
    <col min="13821" max="13821" width="17.88671875" style="38" customWidth="1"/>
    <col min="13822" max="13825" width="1" style="38" customWidth="1"/>
    <col min="13826" max="13826" width="17.88671875" style="38" customWidth="1"/>
    <col min="13827" max="13830" width="1" style="38" customWidth="1"/>
    <col min="13831" max="13831" width="17.88671875" style="38" customWidth="1"/>
    <col min="13832" max="13833" width="1" style="38" customWidth="1"/>
    <col min="13834" max="13888" width="0" style="38" hidden="1" customWidth="1"/>
    <col min="13889" max="13890" width="1" style="38" customWidth="1"/>
    <col min="13891" max="13891" width="17.88671875" style="38" customWidth="1"/>
    <col min="13892" max="13895" width="1" style="38" customWidth="1"/>
    <col min="13896" max="13896" width="17.88671875" style="38" customWidth="1"/>
    <col min="13897" max="13897" width="1" style="38" customWidth="1"/>
    <col min="13898" max="13898" width="2" style="38" customWidth="1"/>
    <col min="13899" max="13899" width="6.44140625" style="38" customWidth="1"/>
    <col min="13900" max="13900" width="17.44140625" style="38" customWidth="1"/>
    <col min="13901" max="13901" width="12.33203125" style="38" customWidth="1"/>
    <col min="13902" max="14010" width="10" style="38"/>
    <col min="14011" max="14011" width="1.88671875" style="38" customWidth="1"/>
    <col min="14012" max="14013" width="1" style="38" customWidth="1"/>
    <col min="14014" max="14014" width="34" style="38" customWidth="1"/>
    <col min="14015" max="14016" width="1" style="38" customWidth="1"/>
    <col min="14017" max="14017" width="17.88671875" style="38" customWidth="1"/>
    <col min="14018" max="14019" width="1" style="38" customWidth="1"/>
    <col min="14020" max="14074" width="0" style="38" hidden="1" customWidth="1"/>
    <col min="14075" max="14076" width="1" style="38" customWidth="1"/>
    <col min="14077" max="14077" width="17.88671875" style="38" customWidth="1"/>
    <col min="14078" max="14081" width="1" style="38" customWidth="1"/>
    <col min="14082" max="14082" width="17.88671875" style="38" customWidth="1"/>
    <col min="14083" max="14086" width="1" style="38" customWidth="1"/>
    <col min="14087" max="14087" width="17.88671875" style="38" customWidth="1"/>
    <col min="14088" max="14089" width="1" style="38" customWidth="1"/>
    <col min="14090" max="14144" width="0" style="38" hidden="1" customWidth="1"/>
    <col min="14145" max="14146" width="1" style="38" customWidth="1"/>
    <col min="14147" max="14147" width="17.88671875" style="38" customWidth="1"/>
    <col min="14148" max="14151" width="1" style="38" customWidth="1"/>
    <col min="14152" max="14152" width="17.88671875" style="38" customWidth="1"/>
    <col min="14153" max="14153" width="1" style="38" customWidth="1"/>
    <col min="14154" max="14154" width="2" style="38" customWidth="1"/>
    <col min="14155" max="14155" width="6.44140625" style="38" customWidth="1"/>
    <col min="14156" max="14156" width="17.44140625" style="38" customWidth="1"/>
    <col min="14157" max="14157" width="12.33203125" style="38" customWidth="1"/>
    <col min="14158" max="14266" width="10" style="38"/>
    <col min="14267" max="14267" width="1.88671875" style="38" customWidth="1"/>
    <col min="14268" max="14269" width="1" style="38" customWidth="1"/>
    <col min="14270" max="14270" width="34" style="38" customWidth="1"/>
    <col min="14271" max="14272" width="1" style="38" customWidth="1"/>
    <col min="14273" max="14273" width="17.88671875" style="38" customWidth="1"/>
    <col min="14274" max="14275" width="1" style="38" customWidth="1"/>
    <col min="14276" max="14330" width="0" style="38" hidden="1" customWidth="1"/>
    <col min="14331" max="14332" width="1" style="38" customWidth="1"/>
    <col min="14333" max="14333" width="17.88671875" style="38" customWidth="1"/>
    <col min="14334" max="14337" width="1" style="38" customWidth="1"/>
    <col min="14338" max="14338" width="17.88671875" style="38" customWidth="1"/>
    <col min="14339" max="14342" width="1" style="38" customWidth="1"/>
    <col min="14343" max="14343" width="17.88671875" style="38" customWidth="1"/>
    <col min="14344" max="14345" width="1" style="38" customWidth="1"/>
    <col min="14346" max="14400" width="0" style="38" hidden="1" customWidth="1"/>
    <col min="14401" max="14402" width="1" style="38" customWidth="1"/>
    <col min="14403" max="14403" width="17.88671875" style="38" customWidth="1"/>
    <col min="14404" max="14407" width="1" style="38" customWidth="1"/>
    <col min="14408" max="14408" width="17.88671875" style="38" customWidth="1"/>
    <col min="14409" max="14409" width="1" style="38" customWidth="1"/>
    <col min="14410" max="14410" width="2" style="38" customWidth="1"/>
    <col min="14411" max="14411" width="6.44140625" style="38" customWidth="1"/>
    <col min="14412" max="14412" width="17.44140625" style="38" customWidth="1"/>
    <col min="14413" max="14413" width="12.33203125" style="38" customWidth="1"/>
    <col min="14414" max="14522" width="10" style="38"/>
    <col min="14523" max="14523" width="1.88671875" style="38" customWidth="1"/>
    <col min="14524" max="14525" width="1" style="38" customWidth="1"/>
    <col min="14526" max="14526" width="34" style="38" customWidth="1"/>
    <col min="14527" max="14528" width="1" style="38" customWidth="1"/>
    <col min="14529" max="14529" width="17.88671875" style="38" customWidth="1"/>
    <col min="14530" max="14531" width="1" style="38" customWidth="1"/>
    <col min="14532" max="14586" width="0" style="38" hidden="1" customWidth="1"/>
    <col min="14587" max="14588" width="1" style="38" customWidth="1"/>
    <col min="14589" max="14589" width="17.88671875" style="38" customWidth="1"/>
    <col min="14590" max="14593" width="1" style="38" customWidth="1"/>
    <col min="14594" max="14594" width="17.88671875" style="38" customWidth="1"/>
    <col min="14595" max="14598" width="1" style="38" customWidth="1"/>
    <col min="14599" max="14599" width="17.88671875" style="38" customWidth="1"/>
    <col min="14600" max="14601" width="1" style="38" customWidth="1"/>
    <col min="14602" max="14656" width="0" style="38" hidden="1" customWidth="1"/>
    <col min="14657" max="14658" width="1" style="38" customWidth="1"/>
    <col min="14659" max="14659" width="17.88671875" style="38" customWidth="1"/>
    <col min="14660" max="14663" width="1" style="38" customWidth="1"/>
    <col min="14664" max="14664" width="17.88671875" style="38" customWidth="1"/>
    <col min="14665" max="14665" width="1" style="38" customWidth="1"/>
    <col min="14666" max="14666" width="2" style="38" customWidth="1"/>
    <col min="14667" max="14667" width="6.44140625" style="38" customWidth="1"/>
    <col min="14668" max="14668" width="17.44140625" style="38" customWidth="1"/>
    <col min="14669" max="14669" width="12.33203125" style="38" customWidth="1"/>
    <col min="14670" max="14778" width="10" style="38"/>
    <col min="14779" max="14779" width="1.88671875" style="38" customWidth="1"/>
    <col min="14780" max="14781" width="1" style="38" customWidth="1"/>
    <col min="14782" max="14782" width="34" style="38" customWidth="1"/>
    <col min="14783" max="14784" width="1" style="38" customWidth="1"/>
    <col min="14785" max="14785" width="17.88671875" style="38" customWidth="1"/>
    <col min="14786" max="14787" width="1" style="38" customWidth="1"/>
    <col min="14788" max="14842" width="0" style="38" hidden="1" customWidth="1"/>
    <col min="14843" max="14844" width="1" style="38" customWidth="1"/>
    <col min="14845" max="14845" width="17.88671875" style="38" customWidth="1"/>
    <col min="14846" max="14849" width="1" style="38" customWidth="1"/>
    <col min="14850" max="14850" width="17.88671875" style="38" customWidth="1"/>
    <col min="14851" max="14854" width="1" style="38" customWidth="1"/>
    <col min="14855" max="14855" width="17.88671875" style="38" customWidth="1"/>
    <col min="14856" max="14857" width="1" style="38" customWidth="1"/>
    <col min="14858" max="14912" width="0" style="38" hidden="1" customWidth="1"/>
    <col min="14913" max="14914" width="1" style="38" customWidth="1"/>
    <col min="14915" max="14915" width="17.88671875" style="38" customWidth="1"/>
    <col min="14916" max="14919" width="1" style="38" customWidth="1"/>
    <col min="14920" max="14920" width="17.88671875" style="38" customWidth="1"/>
    <col min="14921" max="14921" width="1" style="38" customWidth="1"/>
    <col min="14922" max="14922" width="2" style="38" customWidth="1"/>
    <col min="14923" max="14923" width="6.44140625" style="38" customWidth="1"/>
    <col min="14924" max="14924" width="17.44140625" style="38" customWidth="1"/>
    <col min="14925" max="14925" width="12.33203125" style="38" customWidth="1"/>
    <col min="14926" max="15034" width="10" style="38"/>
    <col min="15035" max="15035" width="1.88671875" style="38" customWidth="1"/>
    <col min="15036" max="15037" width="1" style="38" customWidth="1"/>
    <col min="15038" max="15038" width="34" style="38" customWidth="1"/>
    <col min="15039" max="15040" width="1" style="38" customWidth="1"/>
    <col min="15041" max="15041" width="17.88671875" style="38" customWidth="1"/>
    <col min="15042" max="15043" width="1" style="38" customWidth="1"/>
    <col min="15044" max="15098" width="0" style="38" hidden="1" customWidth="1"/>
    <col min="15099" max="15100" width="1" style="38" customWidth="1"/>
    <col min="15101" max="15101" width="17.88671875" style="38" customWidth="1"/>
    <col min="15102" max="15105" width="1" style="38" customWidth="1"/>
    <col min="15106" max="15106" width="17.88671875" style="38" customWidth="1"/>
    <col min="15107" max="15110" width="1" style="38" customWidth="1"/>
    <col min="15111" max="15111" width="17.88671875" style="38" customWidth="1"/>
    <col min="15112" max="15113" width="1" style="38" customWidth="1"/>
    <col min="15114" max="15168" width="0" style="38" hidden="1" customWidth="1"/>
    <col min="15169" max="15170" width="1" style="38" customWidth="1"/>
    <col min="15171" max="15171" width="17.88671875" style="38" customWidth="1"/>
    <col min="15172" max="15175" width="1" style="38" customWidth="1"/>
    <col min="15176" max="15176" width="17.88671875" style="38" customWidth="1"/>
    <col min="15177" max="15177" width="1" style="38" customWidth="1"/>
    <col min="15178" max="15178" width="2" style="38" customWidth="1"/>
    <col min="15179" max="15179" width="6.44140625" style="38" customWidth="1"/>
    <col min="15180" max="15180" width="17.44140625" style="38" customWidth="1"/>
    <col min="15181" max="15181" width="12.33203125" style="38" customWidth="1"/>
    <col min="15182" max="15290" width="10" style="38"/>
    <col min="15291" max="15291" width="1.88671875" style="38" customWidth="1"/>
    <col min="15292" max="15293" width="1" style="38" customWidth="1"/>
    <col min="15294" max="15294" width="34" style="38" customWidth="1"/>
    <col min="15295" max="15296" width="1" style="38" customWidth="1"/>
    <col min="15297" max="15297" width="17.88671875" style="38" customWidth="1"/>
    <col min="15298" max="15299" width="1" style="38" customWidth="1"/>
    <col min="15300" max="15354" width="0" style="38" hidden="1" customWidth="1"/>
    <col min="15355" max="15356" width="1" style="38" customWidth="1"/>
    <col min="15357" max="15357" width="17.88671875" style="38" customWidth="1"/>
    <col min="15358" max="15361" width="1" style="38" customWidth="1"/>
    <col min="15362" max="15362" width="17.88671875" style="38" customWidth="1"/>
    <col min="15363" max="15366" width="1" style="38" customWidth="1"/>
    <col min="15367" max="15367" width="17.88671875" style="38" customWidth="1"/>
    <col min="15368" max="15369" width="1" style="38" customWidth="1"/>
    <col min="15370" max="15424" width="0" style="38" hidden="1" customWidth="1"/>
    <col min="15425" max="15426" width="1" style="38" customWidth="1"/>
    <col min="15427" max="15427" width="17.88671875" style="38" customWidth="1"/>
    <col min="15428" max="15431" width="1" style="38" customWidth="1"/>
    <col min="15432" max="15432" width="17.88671875" style="38" customWidth="1"/>
    <col min="15433" max="15433" width="1" style="38" customWidth="1"/>
    <col min="15434" max="15434" width="2" style="38" customWidth="1"/>
    <col min="15435" max="15435" width="6.44140625" style="38" customWidth="1"/>
    <col min="15436" max="15436" width="17.44140625" style="38" customWidth="1"/>
    <col min="15437" max="15437" width="12.33203125" style="38" customWidth="1"/>
    <col min="15438" max="15546" width="10" style="38"/>
    <col min="15547" max="15547" width="1.88671875" style="38" customWidth="1"/>
    <col min="15548" max="15549" width="1" style="38" customWidth="1"/>
    <col min="15550" max="15550" width="34" style="38" customWidth="1"/>
    <col min="15551" max="15552" width="1" style="38" customWidth="1"/>
    <col min="15553" max="15553" width="17.88671875" style="38" customWidth="1"/>
    <col min="15554" max="15555" width="1" style="38" customWidth="1"/>
    <col min="15556" max="15610" width="0" style="38" hidden="1" customWidth="1"/>
    <col min="15611" max="15612" width="1" style="38" customWidth="1"/>
    <col min="15613" max="15613" width="17.88671875" style="38" customWidth="1"/>
    <col min="15614" max="15617" width="1" style="38" customWidth="1"/>
    <col min="15618" max="15618" width="17.88671875" style="38" customWidth="1"/>
    <col min="15619" max="15622" width="1" style="38" customWidth="1"/>
    <col min="15623" max="15623" width="17.88671875" style="38" customWidth="1"/>
    <col min="15624" max="15625" width="1" style="38" customWidth="1"/>
    <col min="15626" max="15680" width="0" style="38" hidden="1" customWidth="1"/>
    <col min="15681" max="15682" width="1" style="38" customWidth="1"/>
    <col min="15683" max="15683" width="17.88671875" style="38" customWidth="1"/>
    <col min="15684" max="15687" width="1" style="38" customWidth="1"/>
    <col min="15688" max="15688" width="17.88671875" style="38" customWidth="1"/>
    <col min="15689" max="15689" width="1" style="38" customWidth="1"/>
    <col min="15690" max="15690" width="2" style="38" customWidth="1"/>
    <col min="15691" max="15691" width="6.44140625" style="38" customWidth="1"/>
    <col min="15692" max="15692" width="17.44140625" style="38" customWidth="1"/>
    <col min="15693" max="15693" width="12.33203125" style="38" customWidth="1"/>
    <col min="15694" max="15802" width="10" style="38"/>
    <col min="15803" max="15803" width="1.88671875" style="38" customWidth="1"/>
    <col min="15804" max="15805" width="1" style="38" customWidth="1"/>
    <col min="15806" max="15806" width="34" style="38" customWidth="1"/>
    <col min="15807" max="15808" width="1" style="38" customWidth="1"/>
    <col min="15809" max="15809" width="17.88671875" style="38" customWidth="1"/>
    <col min="15810" max="15811" width="1" style="38" customWidth="1"/>
    <col min="15812" max="15866" width="0" style="38" hidden="1" customWidth="1"/>
    <col min="15867" max="15868" width="1" style="38" customWidth="1"/>
    <col min="15869" max="15869" width="17.88671875" style="38" customWidth="1"/>
    <col min="15870" max="15873" width="1" style="38" customWidth="1"/>
    <col min="15874" max="15874" width="17.88671875" style="38" customWidth="1"/>
    <col min="15875" max="15878" width="1" style="38" customWidth="1"/>
    <col min="15879" max="15879" width="17.88671875" style="38" customWidth="1"/>
    <col min="15880" max="15881" width="1" style="38" customWidth="1"/>
    <col min="15882" max="15936" width="0" style="38" hidden="1" customWidth="1"/>
    <col min="15937" max="15938" width="1" style="38" customWidth="1"/>
    <col min="15939" max="15939" width="17.88671875" style="38" customWidth="1"/>
    <col min="15940" max="15943" width="1" style="38" customWidth="1"/>
    <col min="15944" max="15944" width="17.88671875" style="38" customWidth="1"/>
    <col min="15945" max="15945" width="1" style="38" customWidth="1"/>
    <col min="15946" max="15946" width="2" style="38" customWidth="1"/>
    <col min="15947" max="15947" width="6.44140625" style="38" customWidth="1"/>
    <col min="15948" max="15948" width="17.44140625" style="38" customWidth="1"/>
    <col min="15949" max="15949" width="12.33203125" style="38" customWidth="1"/>
    <col min="15950" max="16058" width="10" style="38"/>
    <col min="16059" max="16059" width="1.88671875" style="38" customWidth="1"/>
    <col min="16060" max="16061" width="1" style="38" customWidth="1"/>
    <col min="16062" max="16062" width="34" style="38" customWidth="1"/>
    <col min="16063" max="16064" width="1" style="38" customWidth="1"/>
    <col min="16065" max="16065" width="17.88671875" style="38" customWidth="1"/>
    <col min="16066" max="16067" width="1" style="38" customWidth="1"/>
    <col min="16068" max="16122" width="0" style="38" hidden="1" customWidth="1"/>
    <col min="16123" max="16124" width="1" style="38" customWidth="1"/>
    <col min="16125" max="16125" width="17.88671875" style="38" customWidth="1"/>
    <col min="16126" max="16129" width="1" style="38" customWidth="1"/>
    <col min="16130" max="16130" width="17.88671875" style="38" customWidth="1"/>
    <col min="16131" max="16134" width="1" style="38" customWidth="1"/>
    <col min="16135" max="16135" width="17.88671875" style="38" customWidth="1"/>
    <col min="16136" max="16137" width="1" style="38" customWidth="1"/>
    <col min="16138" max="16192" width="0" style="38" hidden="1" customWidth="1"/>
    <col min="16193" max="16194" width="1" style="38" customWidth="1"/>
    <col min="16195" max="16195" width="17.88671875" style="38" customWidth="1"/>
    <col min="16196" max="16199" width="1" style="38" customWidth="1"/>
    <col min="16200" max="16200" width="17.88671875" style="38" customWidth="1"/>
    <col min="16201" max="16201" width="1" style="38" customWidth="1"/>
    <col min="16202" max="16202" width="2" style="38" customWidth="1"/>
    <col min="16203" max="16203" width="6.44140625" style="38" customWidth="1"/>
    <col min="16204" max="16204" width="17.44140625" style="38" customWidth="1"/>
    <col min="16205" max="16205" width="12.33203125" style="38" customWidth="1"/>
    <col min="16206" max="16384" width="10" style="38"/>
  </cols>
  <sheetData>
    <row r="1" spans="1:77" ht="12.75" x14ac:dyDescent="0.2">
      <c r="B1" s="388"/>
      <c r="C1" s="388"/>
      <c r="D1" s="388"/>
      <c r="E1" s="388"/>
      <c r="F1" s="388"/>
      <c r="G1" s="388"/>
      <c r="H1" s="388"/>
      <c r="I1" s="388"/>
      <c r="J1" s="388"/>
      <c r="K1" s="388"/>
      <c r="L1" s="388"/>
      <c r="M1" s="388">
        <f>1770000000+11234076861+1105000000</f>
        <v>14109076861</v>
      </c>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row>
    <row r="2" spans="1:77" ht="5.25" customHeight="1"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row>
    <row r="3" spans="1:77" ht="12.75" x14ac:dyDescent="0.2">
      <c r="A3" s="388"/>
      <c r="B3" s="388"/>
      <c r="D3" s="388"/>
    </row>
    <row r="4" spans="1:77" ht="12.75" x14ac:dyDescent="0.2">
      <c r="A4" s="388"/>
      <c r="B4" s="388"/>
      <c r="D4" s="411"/>
      <c r="E4" s="411"/>
      <c r="F4" s="411"/>
    </row>
    <row r="5" spans="1:77" ht="12.75" x14ac:dyDescent="0.2">
      <c r="A5" s="388"/>
      <c r="B5" s="388"/>
    </row>
    <row r="6" spans="1:77" ht="12.75" x14ac:dyDescent="0.2">
      <c r="A6" s="388"/>
      <c r="B6" s="388"/>
    </row>
    <row r="7" spans="1:77" ht="15.75" x14ac:dyDescent="0.25">
      <c r="A7" s="388"/>
      <c r="B7" s="388"/>
      <c r="D7" s="518" t="s">
        <v>440</v>
      </c>
      <c r="E7" s="462"/>
      <c r="F7" s="462"/>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88"/>
    </row>
    <row r="8" spans="1:77" ht="15" customHeight="1" x14ac:dyDescent="0.2">
      <c r="A8" s="388"/>
      <c r="B8" s="388"/>
      <c r="D8" s="392"/>
      <c r="E8" s="427"/>
      <c r="F8" s="430"/>
      <c r="G8" s="719" t="str">
        <f>[39]summary!H8</f>
        <v>2020/21</v>
      </c>
      <c r="H8" s="719"/>
      <c r="I8" s="719"/>
      <c r="J8" s="719"/>
      <c r="K8" s="719"/>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507"/>
      <c r="BV8" s="507"/>
      <c r="BW8" s="398"/>
    </row>
    <row r="9" spans="1:77" ht="18" customHeight="1" x14ac:dyDescent="0.2">
      <c r="A9" s="388"/>
      <c r="B9" s="388"/>
      <c r="D9" s="398"/>
      <c r="E9" s="404"/>
      <c r="F9" s="388"/>
      <c r="G9" s="119" t="str">
        <f>[39]domlongtermissues!G9</f>
        <v>Revised</v>
      </c>
      <c r="H9" s="119"/>
      <c r="I9" s="119"/>
      <c r="J9" s="134"/>
      <c r="K9" s="119"/>
      <c r="L9" s="119" t="s">
        <v>5</v>
      </c>
      <c r="M9" s="119"/>
      <c r="N9" s="119"/>
      <c r="O9" s="134"/>
      <c r="P9" s="119"/>
      <c r="Q9" s="119" t="s">
        <v>6</v>
      </c>
      <c r="R9" s="119"/>
      <c r="S9" s="119"/>
      <c r="T9" s="134"/>
      <c r="U9" s="119"/>
      <c r="V9" s="119" t="s">
        <v>7</v>
      </c>
      <c r="W9" s="119"/>
      <c r="X9" s="119"/>
      <c r="Y9" s="134"/>
      <c r="Z9" s="119"/>
      <c r="AA9" s="119" t="s">
        <v>8</v>
      </c>
      <c r="AB9" s="119"/>
      <c r="AC9" s="119"/>
      <c r="AD9" s="134"/>
      <c r="AE9" s="119"/>
      <c r="AF9" s="119" t="s">
        <v>9</v>
      </c>
      <c r="AG9" s="119"/>
      <c r="AH9" s="119"/>
      <c r="AI9" s="134"/>
      <c r="AJ9" s="119"/>
      <c r="AK9" s="119" t="s">
        <v>10</v>
      </c>
      <c r="AL9" s="119"/>
      <c r="AM9" s="119"/>
      <c r="AN9" s="134"/>
      <c r="AO9" s="119"/>
      <c r="AP9" s="119" t="s">
        <v>11</v>
      </c>
      <c r="AQ9" s="119"/>
      <c r="AR9" s="119"/>
      <c r="AS9" s="134"/>
      <c r="AT9" s="119"/>
      <c r="AU9" s="119" t="s">
        <v>12</v>
      </c>
      <c r="AV9" s="119"/>
      <c r="AW9" s="119"/>
      <c r="AX9" s="134"/>
      <c r="AY9" s="119"/>
      <c r="AZ9" s="119" t="s">
        <v>13</v>
      </c>
      <c r="BA9" s="119"/>
      <c r="BB9" s="119"/>
      <c r="BC9" s="134"/>
      <c r="BD9" s="119"/>
      <c r="BE9" s="119" t="s">
        <v>14</v>
      </c>
      <c r="BF9" s="119"/>
      <c r="BG9" s="119"/>
      <c r="BH9" s="134"/>
      <c r="BI9" s="119"/>
      <c r="BJ9" s="119" t="s">
        <v>15</v>
      </c>
      <c r="BK9" s="119"/>
      <c r="BL9" s="119"/>
      <c r="BM9" s="134"/>
      <c r="BN9" s="119"/>
      <c r="BO9" s="119" t="s">
        <v>16</v>
      </c>
      <c r="BP9" s="119"/>
      <c r="BQ9" s="119"/>
      <c r="BR9" s="134"/>
      <c r="BS9" s="119"/>
      <c r="BT9" s="119" t="s">
        <v>17</v>
      </c>
      <c r="BU9" s="119"/>
      <c r="BV9" s="119"/>
      <c r="BW9" s="398"/>
    </row>
    <row r="10" spans="1:77" ht="12.75" x14ac:dyDescent="0.2">
      <c r="A10" s="388"/>
      <c r="B10" s="388"/>
      <c r="D10" s="399" t="s">
        <v>18</v>
      </c>
      <c r="E10" s="467"/>
      <c r="F10" s="468"/>
      <c r="G10" s="402" t="s">
        <v>20</v>
      </c>
      <c r="H10" s="402"/>
      <c r="I10" s="402"/>
      <c r="J10" s="401"/>
      <c r="K10" s="402"/>
      <c r="L10" s="402"/>
      <c r="M10" s="402"/>
      <c r="N10" s="402"/>
      <c r="O10" s="401"/>
      <c r="P10" s="402"/>
      <c r="Q10" s="402"/>
      <c r="R10" s="402"/>
      <c r="S10" s="402"/>
      <c r="T10" s="401"/>
      <c r="U10" s="402"/>
      <c r="V10" s="402"/>
      <c r="W10" s="402"/>
      <c r="X10" s="402"/>
      <c r="Y10" s="401"/>
      <c r="Z10" s="402"/>
      <c r="AA10" s="402"/>
      <c r="AB10" s="402"/>
      <c r="AC10" s="402"/>
      <c r="AD10" s="401"/>
      <c r="AE10" s="402"/>
      <c r="AF10" s="402"/>
      <c r="AG10" s="402"/>
      <c r="AH10" s="402"/>
      <c r="AI10" s="401"/>
      <c r="AJ10" s="402"/>
      <c r="AK10" s="402"/>
      <c r="AL10" s="402"/>
      <c r="AM10" s="402"/>
      <c r="AN10" s="401"/>
      <c r="AO10" s="402"/>
      <c r="AP10" s="402"/>
      <c r="AQ10" s="402"/>
      <c r="AR10" s="402"/>
      <c r="AS10" s="401"/>
      <c r="AT10" s="402"/>
      <c r="AU10" s="402"/>
      <c r="AV10" s="402"/>
      <c r="AW10" s="402"/>
      <c r="AX10" s="401"/>
      <c r="AY10" s="402"/>
      <c r="AZ10" s="402"/>
      <c r="BA10" s="402"/>
      <c r="BB10" s="402"/>
      <c r="BC10" s="401"/>
      <c r="BD10" s="402"/>
      <c r="BE10" s="402"/>
      <c r="BF10" s="402"/>
      <c r="BG10" s="402"/>
      <c r="BH10" s="401"/>
      <c r="BI10" s="402"/>
      <c r="BJ10" s="402"/>
      <c r="BK10" s="402"/>
      <c r="BL10" s="402"/>
      <c r="BM10" s="401"/>
      <c r="BN10" s="402"/>
      <c r="BO10" s="402"/>
      <c r="BP10" s="402"/>
      <c r="BQ10" s="402"/>
      <c r="BR10" s="401"/>
      <c r="BS10" s="402"/>
      <c r="BT10" s="402"/>
      <c r="BU10" s="402"/>
      <c r="BV10" s="402"/>
      <c r="BW10" s="398"/>
    </row>
    <row r="11" spans="1:77" ht="12.75" x14ac:dyDescent="0.2">
      <c r="A11" s="388"/>
      <c r="B11" s="388"/>
      <c r="D11" s="470"/>
      <c r="E11" s="431"/>
      <c r="F11" s="432"/>
      <c r="G11" s="432"/>
      <c r="H11" s="432"/>
      <c r="I11" s="432"/>
      <c r="J11" s="431"/>
      <c r="K11" s="432"/>
      <c r="L11" s="432"/>
      <c r="M11" s="432"/>
      <c r="N11" s="432"/>
      <c r="O11" s="431"/>
      <c r="P11" s="432"/>
      <c r="Q11" s="432"/>
      <c r="R11" s="432"/>
      <c r="S11" s="432"/>
      <c r="T11" s="431"/>
      <c r="U11" s="432"/>
      <c r="V11" s="432"/>
      <c r="W11" s="432"/>
      <c r="X11" s="432"/>
      <c r="Y11" s="431"/>
      <c r="Z11" s="432"/>
      <c r="AA11" s="432"/>
      <c r="AB11" s="432"/>
      <c r="AC11" s="432"/>
      <c r="AD11" s="431"/>
      <c r="AE11" s="432"/>
      <c r="AF11" s="432"/>
      <c r="AG11" s="432"/>
      <c r="AH11" s="432"/>
      <c r="AI11" s="431"/>
      <c r="AJ11" s="432"/>
      <c r="AK11" s="432"/>
      <c r="AL11" s="432"/>
      <c r="AM11" s="432"/>
      <c r="AN11" s="431"/>
      <c r="AO11" s="432"/>
      <c r="AP11" s="432"/>
      <c r="AQ11" s="432"/>
      <c r="AR11" s="432"/>
      <c r="AS11" s="431"/>
      <c r="AT11" s="432"/>
      <c r="AU11" s="432"/>
      <c r="AV11" s="432"/>
      <c r="AW11" s="432"/>
      <c r="AX11" s="431"/>
      <c r="AY11" s="432"/>
      <c r="AZ11" s="432"/>
      <c r="BA11" s="432"/>
      <c r="BB11" s="432"/>
      <c r="BC11" s="431"/>
      <c r="BD11" s="432"/>
      <c r="BE11" s="432"/>
      <c r="BF11" s="432"/>
      <c r="BG11" s="432"/>
      <c r="BH11" s="431"/>
      <c r="BI11" s="432"/>
      <c r="BJ11" s="432"/>
      <c r="BK11" s="432"/>
      <c r="BL11" s="432"/>
      <c r="BM11" s="431"/>
      <c r="BN11" s="432"/>
      <c r="BO11" s="432"/>
      <c r="BP11" s="432"/>
      <c r="BQ11" s="432"/>
      <c r="BR11" s="431"/>
      <c r="BS11" s="432"/>
      <c r="BT11" s="388"/>
      <c r="BU11" s="388"/>
      <c r="BV11" s="388"/>
      <c r="BW11" s="398"/>
    </row>
    <row r="12" spans="1:77" s="411" customFormat="1" ht="12.75" x14ac:dyDescent="0.2">
      <c r="A12" s="389"/>
      <c r="B12" s="389"/>
      <c r="D12" s="405" t="s">
        <v>441</v>
      </c>
      <c r="E12" s="407"/>
      <c r="F12" s="389"/>
      <c r="G12" s="53">
        <f>SUM(G13:G16)</f>
        <v>58373268</v>
      </c>
      <c r="H12" s="53"/>
      <c r="I12" s="53"/>
      <c r="J12" s="327"/>
      <c r="K12" s="53"/>
      <c r="L12" s="434">
        <f>SUM(L13:L16)</f>
        <v>1687473</v>
      </c>
      <c r="M12" s="434"/>
      <c r="N12" s="434"/>
      <c r="O12" s="433"/>
      <c r="P12" s="434"/>
      <c r="Q12" s="434">
        <f>SUM(Q13:Q16)</f>
        <v>364729</v>
      </c>
      <c r="R12" s="434"/>
      <c r="S12" s="434"/>
      <c r="T12" s="433"/>
      <c r="U12" s="434"/>
      <c r="V12" s="434">
        <f>SUM(V13:V16)</f>
        <v>141048</v>
      </c>
      <c r="W12" s="434"/>
      <c r="X12" s="434"/>
      <c r="Y12" s="433"/>
      <c r="Z12" s="434"/>
      <c r="AA12" s="434">
        <f>SUM(AA13:AA16)</f>
        <v>339545</v>
      </c>
      <c r="AB12" s="434"/>
      <c r="AC12" s="434"/>
      <c r="AD12" s="433"/>
      <c r="AE12" s="434"/>
      <c r="AF12" s="434">
        <f>SUM(AF13:AF16)</f>
        <v>253446</v>
      </c>
      <c r="AG12" s="434"/>
      <c r="AH12" s="434"/>
      <c r="AI12" s="433"/>
      <c r="AJ12" s="434"/>
      <c r="AK12" s="434">
        <f>SUM(AK13:AK16)</f>
        <v>241575</v>
      </c>
      <c r="AL12" s="434"/>
      <c r="AM12" s="434"/>
      <c r="AN12" s="433"/>
      <c r="AO12" s="434"/>
      <c r="AP12" s="434">
        <f>SUM(AP13:AP16)</f>
        <v>333330</v>
      </c>
      <c r="AQ12" s="434"/>
      <c r="AR12" s="434"/>
      <c r="AS12" s="433"/>
      <c r="AT12" s="434"/>
      <c r="AU12" s="434">
        <f>SUM(AU13:AU16)</f>
        <v>314155</v>
      </c>
      <c r="AV12" s="434"/>
      <c r="AW12" s="434"/>
      <c r="AX12" s="433"/>
      <c r="AY12" s="434"/>
      <c r="AZ12" s="434">
        <f>SUM(AZ13:AZ16)</f>
        <v>350295</v>
      </c>
      <c r="BA12" s="434"/>
      <c r="BB12" s="434"/>
      <c r="BC12" s="433"/>
      <c r="BD12" s="434"/>
      <c r="BE12" s="434">
        <f>SUM(BE13:BE16)</f>
        <v>530634</v>
      </c>
      <c r="BF12" s="434"/>
      <c r="BG12" s="434"/>
      <c r="BH12" s="433"/>
      <c r="BI12" s="434"/>
      <c r="BJ12" s="434">
        <f>SUM(BJ13:BJ16)</f>
        <v>8365260</v>
      </c>
      <c r="BK12" s="434"/>
      <c r="BL12" s="434"/>
      <c r="BM12" s="433"/>
      <c r="BN12" s="434"/>
      <c r="BO12" s="434">
        <f>SUM(BO13:BO16)</f>
        <v>51998097</v>
      </c>
      <c r="BP12" s="434"/>
      <c r="BQ12" s="434"/>
      <c r="BR12" s="433"/>
      <c r="BS12" s="434"/>
      <c r="BT12" s="434">
        <f>SUM(BT13:BT16)</f>
        <v>64919587</v>
      </c>
      <c r="BU12" s="434"/>
      <c r="BV12" s="434"/>
      <c r="BW12" s="405"/>
    </row>
    <row r="13" spans="1:77" ht="12.75" x14ac:dyDescent="0.2">
      <c r="A13" s="388"/>
      <c r="B13" s="388"/>
      <c r="D13" s="398" t="s">
        <v>442</v>
      </c>
      <c r="E13" s="404"/>
      <c r="F13" s="435"/>
      <c r="G13" s="471">
        <f>G18</f>
        <v>52465000</v>
      </c>
      <c r="H13" s="474"/>
      <c r="I13" s="291"/>
      <c r="J13" s="290"/>
      <c r="K13" s="435"/>
      <c r="L13" s="471">
        <f>L18</f>
        <v>1200137</v>
      </c>
      <c r="M13" s="474"/>
      <c r="N13" s="432"/>
      <c r="O13" s="431"/>
      <c r="P13" s="435"/>
      <c r="Q13" s="471">
        <f>Q18</f>
        <v>335047</v>
      </c>
      <c r="R13" s="474"/>
      <c r="S13" s="432"/>
      <c r="T13" s="431"/>
      <c r="U13" s="435"/>
      <c r="V13" s="471">
        <f>V18</f>
        <v>112559</v>
      </c>
      <c r="W13" s="474"/>
      <c r="X13" s="432"/>
      <c r="Y13" s="431"/>
      <c r="Z13" s="435"/>
      <c r="AA13" s="471">
        <f>AA18</f>
        <v>339545</v>
      </c>
      <c r="AB13" s="474"/>
      <c r="AC13" s="432"/>
      <c r="AD13" s="431"/>
      <c r="AE13" s="435"/>
      <c r="AF13" s="471">
        <f>AF18</f>
        <v>212255</v>
      </c>
      <c r="AG13" s="474"/>
      <c r="AH13" s="432"/>
      <c r="AI13" s="431"/>
      <c r="AJ13" s="435"/>
      <c r="AK13" s="471">
        <f>AK18</f>
        <v>223023</v>
      </c>
      <c r="AL13" s="474"/>
      <c r="AM13" s="432"/>
      <c r="AN13" s="431"/>
      <c r="AO13" s="435"/>
      <c r="AP13" s="471">
        <f>AP18</f>
        <v>333330</v>
      </c>
      <c r="AQ13" s="474"/>
      <c r="AR13" s="432"/>
      <c r="AS13" s="431"/>
      <c r="AT13" s="435"/>
      <c r="AU13" s="471">
        <f>AU18</f>
        <v>314155</v>
      </c>
      <c r="AV13" s="474"/>
      <c r="AW13" s="432"/>
      <c r="AX13" s="431"/>
      <c r="AY13" s="435"/>
      <c r="AZ13" s="471">
        <f>AZ18</f>
        <v>59957</v>
      </c>
      <c r="BA13" s="474"/>
      <c r="BB13" s="432"/>
      <c r="BC13" s="431"/>
      <c r="BD13" s="435"/>
      <c r="BE13" s="471">
        <f>BE18</f>
        <v>397954</v>
      </c>
      <c r="BF13" s="474"/>
      <c r="BG13" s="432"/>
      <c r="BH13" s="431"/>
      <c r="BI13" s="435"/>
      <c r="BJ13" s="471">
        <f>BJ18</f>
        <v>281023</v>
      </c>
      <c r="BK13" s="474"/>
      <c r="BL13" s="432"/>
      <c r="BM13" s="431"/>
      <c r="BN13" s="435"/>
      <c r="BO13" s="471">
        <f>BO18</f>
        <v>49413606</v>
      </c>
      <c r="BP13" s="474"/>
      <c r="BQ13" s="431"/>
      <c r="BR13" s="431"/>
      <c r="BS13" s="435"/>
      <c r="BT13" s="471">
        <f>BT18</f>
        <v>53222591</v>
      </c>
      <c r="BU13" s="474"/>
      <c r="BV13" s="432"/>
      <c r="BW13" s="398"/>
      <c r="BX13" s="411"/>
      <c r="BY13" s="411"/>
    </row>
    <row r="14" spans="1:77" ht="12.75" x14ac:dyDescent="0.2">
      <c r="A14" s="388"/>
      <c r="B14" s="388"/>
      <c r="D14" s="398" t="s">
        <v>443</v>
      </c>
      <c r="E14" s="404"/>
      <c r="F14" s="431"/>
      <c r="G14" s="432">
        <f>G30</f>
        <v>4880000</v>
      </c>
      <c r="H14" s="476"/>
      <c r="I14" s="432"/>
      <c r="J14" s="431"/>
      <c r="K14" s="431"/>
      <c r="L14" s="432">
        <f>L30</f>
        <v>0</v>
      </c>
      <c r="M14" s="476"/>
      <c r="N14" s="432"/>
      <c r="O14" s="431"/>
      <c r="P14" s="431"/>
      <c r="Q14" s="432">
        <f>Q30</f>
        <v>0</v>
      </c>
      <c r="R14" s="476"/>
      <c r="S14" s="432"/>
      <c r="T14" s="431"/>
      <c r="U14" s="431"/>
      <c r="V14" s="432">
        <f>V30</f>
        <v>0</v>
      </c>
      <c r="W14" s="476"/>
      <c r="X14" s="432"/>
      <c r="Y14" s="431"/>
      <c r="Z14" s="431"/>
      <c r="AA14" s="432">
        <f>AA30</f>
        <v>0</v>
      </c>
      <c r="AB14" s="476"/>
      <c r="AC14" s="432"/>
      <c r="AD14" s="431"/>
      <c r="AE14" s="431"/>
      <c r="AF14" s="432">
        <f>AF30</f>
        <v>0</v>
      </c>
      <c r="AG14" s="476"/>
      <c r="AH14" s="432"/>
      <c r="AI14" s="431"/>
      <c r="AJ14" s="431"/>
      <c r="AK14" s="432">
        <f>AK30</f>
        <v>0</v>
      </c>
      <c r="AL14" s="476"/>
      <c r="AM14" s="432"/>
      <c r="AN14" s="431"/>
      <c r="AO14" s="431"/>
      <c r="AP14" s="432">
        <f>AP30</f>
        <v>0</v>
      </c>
      <c r="AQ14" s="476"/>
      <c r="AR14" s="432"/>
      <c r="AS14" s="431"/>
      <c r="AT14" s="431"/>
      <c r="AU14" s="432">
        <f>AU30</f>
        <v>0</v>
      </c>
      <c r="AV14" s="476"/>
      <c r="AW14" s="432"/>
      <c r="AX14" s="431"/>
      <c r="AY14" s="431"/>
      <c r="AZ14" s="432">
        <f>AZ30</f>
        <v>0</v>
      </c>
      <c r="BA14" s="476"/>
      <c r="BB14" s="432"/>
      <c r="BC14" s="431"/>
      <c r="BD14" s="431"/>
      <c r="BE14" s="432">
        <f>BE30</f>
        <v>0</v>
      </c>
      <c r="BF14" s="476"/>
      <c r="BG14" s="432"/>
      <c r="BH14" s="431"/>
      <c r="BI14" s="431"/>
      <c r="BJ14" s="432">
        <f>BJ30</f>
        <v>6805000</v>
      </c>
      <c r="BK14" s="476"/>
      <c r="BL14" s="432"/>
      <c r="BM14" s="431"/>
      <c r="BN14" s="431"/>
      <c r="BO14" s="432">
        <f>BO30</f>
        <v>0</v>
      </c>
      <c r="BP14" s="476"/>
      <c r="BQ14" s="431"/>
      <c r="BR14" s="431"/>
      <c r="BS14" s="431"/>
      <c r="BT14" s="432">
        <f>BT30</f>
        <v>6805000</v>
      </c>
      <c r="BU14" s="476"/>
      <c r="BV14" s="432"/>
      <c r="BW14" s="398"/>
      <c r="BX14" s="411"/>
      <c r="BY14" s="411"/>
    </row>
    <row r="15" spans="1:77" ht="12.75" x14ac:dyDescent="0.2">
      <c r="A15" s="388"/>
      <c r="B15" s="388"/>
      <c r="D15" s="398" t="s">
        <v>444</v>
      </c>
      <c r="E15" s="404"/>
      <c r="F15" s="431"/>
      <c r="G15" s="432">
        <f>G65</f>
        <v>1028268</v>
      </c>
      <c r="H15" s="476"/>
      <c r="I15" s="291"/>
      <c r="J15" s="290"/>
      <c r="K15" s="431"/>
      <c r="L15" s="432">
        <f>L65</f>
        <v>487336</v>
      </c>
      <c r="M15" s="476"/>
      <c r="N15" s="291"/>
      <c r="O15" s="290"/>
      <c r="P15" s="431"/>
      <c r="Q15" s="432">
        <f>Q65</f>
        <v>29682</v>
      </c>
      <c r="R15" s="476"/>
      <c r="S15" s="432"/>
      <c r="T15" s="431"/>
      <c r="U15" s="431"/>
      <c r="V15" s="432">
        <f>V65</f>
        <v>28489</v>
      </c>
      <c r="W15" s="476"/>
      <c r="X15" s="432"/>
      <c r="Y15" s="431"/>
      <c r="Z15" s="431"/>
      <c r="AA15" s="432">
        <f>AA65</f>
        <v>0</v>
      </c>
      <c r="AB15" s="476"/>
      <c r="AC15" s="432"/>
      <c r="AD15" s="431"/>
      <c r="AE15" s="431"/>
      <c r="AF15" s="432">
        <f>AF65</f>
        <v>41191</v>
      </c>
      <c r="AG15" s="476"/>
      <c r="AH15" s="432"/>
      <c r="AI15" s="431"/>
      <c r="AJ15" s="431"/>
      <c r="AK15" s="432">
        <f>AK65</f>
        <v>18552</v>
      </c>
      <c r="AL15" s="476"/>
      <c r="AM15" s="432"/>
      <c r="AN15" s="431"/>
      <c r="AO15" s="431"/>
      <c r="AP15" s="432">
        <f>AP65</f>
        <v>0</v>
      </c>
      <c r="AQ15" s="476"/>
      <c r="AR15" s="432"/>
      <c r="AS15" s="431"/>
      <c r="AT15" s="431"/>
      <c r="AU15" s="432">
        <f>AU65</f>
        <v>0</v>
      </c>
      <c r="AV15" s="476"/>
      <c r="AW15" s="432"/>
      <c r="AX15" s="431"/>
      <c r="AY15" s="431"/>
      <c r="AZ15" s="432">
        <f>AZ65</f>
        <v>290338</v>
      </c>
      <c r="BA15" s="476"/>
      <c r="BB15" s="432"/>
      <c r="BC15" s="431"/>
      <c r="BD15" s="431"/>
      <c r="BE15" s="432">
        <f>BE65</f>
        <v>132680</v>
      </c>
      <c r="BF15" s="476"/>
      <c r="BG15" s="432"/>
      <c r="BH15" s="431"/>
      <c r="BI15" s="431"/>
      <c r="BJ15" s="432">
        <f>BJ65</f>
        <v>1279237</v>
      </c>
      <c r="BK15" s="476"/>
      <c r="BL15" s="432"/>
      <c r="BM15" s="431"/>
      <c r="BN15" s="431"/>
      <c r="BO15" s="432">
        <f>BO65</f>
        <v>2584491</v>
      </c>
      <c r="BP15" s="476"/>
      <c r="BQ15" s="431"/>
      <c r="BR15" s="431"/>
      <c r="BS15" s="431"/>
      <c r="BT15" s="432">
        <f>BT65</f>
        <v>4891996</v>
      </c>
      <c r="BU15" s="476"/>
      <c r="BV15" s="432"/>
      <c r="BW15" s="398"/>
      <c r="BX15" s="411"/>
      <c r="BY15" s="411"/>
    </row>
    <row r="16" spans="1:77" ht="12.75" customHeight="1" x14ac:dyDescent="0.2">
      <c r="A16" s="388"/>
      <c r="B16" s="388"/>
      <c r="D16" s="398" t="s">
        <v>445</v>
      </c>
      <c r="E16" s="404"/>
      <c r="F16" s="446"/>
      <c r="G16" s="479">
        <f>G122</f>
        <v>0</v>
      </c>
      <c r="H16" s="478"/>
      <c r="I16" s="291"/>
      <c r="J16" s="290"/>
      <c r="K16" s="446"/>
      <c r="L16" s="479">
        <f>L122</f>
        <v>0</v>
      </c>
      <c r="M16" s="478"/>
      <c r="N16" s="291"/>
      <c r="O16" s="290"/>
      <c r="P16" s="446"/>
      <c r="Q16" s="479">
        <f>Q122</f>
        <v>0</v>
      </c>
      <c r="R16" s="478"/>
      <c r="S16" s="432"/>
      <c r="T16" s="431"/>
      <c r="U16" s="446"/>
      <c r="V16" s="479">
        <f>V122</f>
        <v>0</v>
      </c>
      <c r="W16" s="478"/>
      <c r="X16" s="432"/>
      <c r="Y16" s="431"/>
      <c r="Z16" s="446"/>
      <c r="AA16" s="479">
        <f>AA122</f>
        <v>0</v>
      </c>
      <c r="AB16" s="478"/>
      <c r="AC16" s="432"/>
      <c r="AD16" s="431"/>
      <c r="AE16" s="446"/>
      <c r="AF16" s="479">
        <f>AF122</f>
        <v>0</v>
      </c>
      <c r="AG16" s="478"/>
      <c r="AH16" s="432"/>
      <c r="AI16" s="431"/>
      <c r="AJ16" s="446"/>
      <c r="AK16" s="479">
        <f>AK122</f>
        <v>0</v>
      </c>
      <c r="AL16" s="478"/>
      <c r="AM16" s="432"/>
      <c r="AN16" s="431"/>
      <c r="AO16" s="446"/>
      <c r="AP16" s="479">
        <f>AP122</f>
        <v>0</v>
      </c>
      <c r="AQ16" s="478"/>
      <c r="AR16" s="432"/>
      <c r="AS16" s="431"/>
      <c r="AT16" s="446"/>
      <c r="AU16" s="479">
        <f>AU122</f>
        <v>0</v>
      </c>
      <c r="AV16" s="478"/>
      <c r="AW16" s="432"/>
      <c r="AX16" s="431"/>
      <c r="AY16" s="446"/>
      <c r="AZ16" s="479">
        <f>AZ122</f>
        <v>0</v>
      </c>
      <c r="BA16" s="478"/>
      <c r="BB16" s="432"/>
      <c r="BC16" s="431"/>
      <c r="BD16" s="446"/>
      <c r="BE16" s="479">
        <f>BE122</f>
        <v>0</v>
      </c>
      <c r="BF16" s="478"/>
      <c r="BG16" s="432"/>
      <c r="BH16" s="431"/>
      <c r="BI16" s="446"/>
      <c r="BJ16" s="479">
        <f>BJ122</f>
        <v>0</v>
      </c>
      <c r="BK16" s="478"/>
      <c r="BL16" s="432"/>
      <c r="BM16" s="431"/>
      <c r="BN16" s="446"/>
      <c r="BO16" s="479">
        <f>BO122</f>
        <v>0</v>
      </c>
      <c r="BP16" s="478"/>
      <c r="BQ16" s="432"/>
      <c r="BR16" s="431"/>
      <c r="BS16" s="446"/>
      <c r="BT16" s="479">
        <f>BT122</f>
        <v>0</v>
      </c>
      <c r="BU16" s="478"/>
      <c r="BV16" s="432"/>
      <c r="BW16" s="398"/>
      <c r="BX16" s="411"/>
      <c r="BY16" s="411"/>
    </row>
    <row r="17" spans="1:77" ht="12.75" x14ac:dyDescent="0.2">
      <c r="A17" s="388"/>
      <c r="B17" s="388"/>
      <c r="D17" s="398"/>
      <c r="E17" s="404"/>
      <c r="F17" s="388"/>
      <c r="G17" s="475"/>
      <c r="H17" s="432"/>
      <c r="I17" s="432"/>
      <c r="J17" s="431"/>
      <c r="K17" s="432"/>
      <c r="L17" s="432"/>
      <c r="M17" s="432"/>
      <c r="N17" s="432"/>
      <c r="O17" s="431"/>
      <c r="P17" s="471"/>
      <c r="Q17" s="432"/>
      <c r="R17" s="471"/>
      <c r="S17" s="432"/>
      <c r="T17" s="431"/>
      <c r="U17" s="471"/>
      <c r="V17" s="432"/>
      <c r="W17" s="471"/>
      <c r="X17" s="432"/>
      <c r="Y17" s="431"/>
      <c r="Z17" s="471"/>
      <c r="AA17" s="432"/>
      <c r="AB17" s="471"/>
      <c r="AC17" s="432"/>
      <c r="AD17" s="431"/>
      <c r="AE17" s="471"/>
      <c r="AF17" s="432"/>
      <c r="AG17" s="471"/>
      <c r="AH17" s="432"/>
      <c r="AI17" s="431"/>
      <c r="AJ17" s="471"/>
      <c r="AK17" s="432"/>
      <c r="AL17" s="471"/>
      <c r="AM17" s="432"/>
      <c r="AN17" s="431"/>
      <c r="AO17" s="471"/>
      <c r="AP17" s="432"/>
      <c r="AQ17" s="471"/>
      <c r="AR17" s="432"/>
      <c r="AS17" s="431"/>
      <c r="AT17" s="432"/>
      <c r="AU17" s="432"/>
      <c r="AV17" s="432"/>
      <c r="AW17" s="432"/>
      <c r="AX17" s="431"/>
      <c r="AY17" s="432"/>
      <c r="AZ17" s="432"/>
      <c r="BA17" s="471"/>
      <c r="BB17" s="432"/>
      <c r="BC17" s="431"/>
      <c r="BD17" s="432"/>
      <c r="BE17" s="432"/>
      <c r="BF17" s="432"/>
      <c r="BG17" s="432"/>
      <c r="BH17" s="431"/>
      <c r="BI17" s="471"/>
      <c r="BJ17" s="432"/>
      <c r="BK17" s="471"/>
      <c r="BL17" s="432"/>
      <c r="BM17" s="431"/>
      <c r="BN17" s="471"/>
      <c r="BO17" s="432"/>
      <c r="BP17" s="471"/>
      <c r="BQ17" s="432"/>
      <c r="BR17" s="431"/>
      <c r="BS17" s="432"/>
      <c r="BT17" s="432"/>
      <c r="BU17" s="432"/>
      <c r="BV17" s="432"/>
      <c r="BW17" s="398"/>
      <c r="BX17" s="411"/>
      <c r="BY17" s="411"/>
    </row>
    <row r="18" spans="1:77" s="411" customFormat="1" ht="12.75" customHeight="1" x14ac:dyDescent="0.2">
      <c r="A18" s="389"/>
      <c r="B18" s="389"/>
      <c r="D18" s="405" t="s">
        <v>446</v>
      </c>
      <c r="E18" s="407"/>
      <c r="F18" s="519"/>
      <c r="G18" s="520">
        <f>SUM(G19:G28)</f>
        <v>52465000</v>
      </c>
      <c r="H18" s="520"/>
      <c r="I18" s="482"/>
      <c r="J18" s="483"/>
      <c r="K18" s="520"/>
      <c r="L18" s="520">
        <f>SUM(L19:L28)</f>
        <v>1200137</v>
      </c>
      <c r="M18" s="520"/>
      <c r="N18" s="482"/>
      <c r="O18" s="483"/>
      <c r="P18" s="520"/>
      <c r="Q18" s="520">
        <f>SUM(Q19:Q28)</f>
        <v>335047</v>
      </c>
      <c r="R18" s="520"/>
      <c r="S18" s="482"/>
      <c r="T18" s="483"/>
      <c r="U18" s="520"/>
      <c r="V18" s="520">
        <f>SUM(V19:V28)</f>
        <v>112559</v>
      </c>
      <c r="W18" s="520"/>
      <c r="X18" s="482"/>
      <c r="Y18" s="483"/>
      <c r="Z18" s="520"/>
      <c r="AA18" s="520">
        <f>SUM(AA19:AA28)</f>
        <v>339545</v>
      </c>
      <c r="AB18" s="520"/>
      <c r="AC18" s="482"/>
      <c r="AD18" s="483"/>
      <c r="AE18" s="520"/>
      <c r="AF18" s="520">
        <f>SUM(AF19:AF28)</f>
        <v>212255</v>
      </c>
      <c r="AG18" s="520"/>
      <c r="AH18" s="482"/>
      <c r="AI18" s="483"/>
      <c r="AJ18" s="520"/>
      <c r="AK18" s="520">
        <f>SUM(AK19:AK28)</f>
        <v>223023</v>
      </c>
      <c r="AL18" s="520"/>
      <c r="AM18" s="482"/>
      <c r="AN18" s="483"/>
      <c r="AO18" s="520"/>
      <c r="AP18" s="520">
        <f>SUM(AP19:AP28)</f>
        <v>333330</v>
      </c>
      <c r="AQ18" s="520"/>
      <c r="AR18" s="482"/>
      <c r="AS18" s="483"/>
      <c r="AT18" s="520"/>
      <c r="AU18" s="520">
        <f>SUM(AU19:AU28)</f>
        <v>314155</v>
      </c>
      <c r="AV18" s="520"/>
      <c r="AW18" s="482"/>
      <c r="AX18" s="483"/>
      <c r="AY18" s="520"/>
      <c r="AZ18" s="520">
        <f>SUM(AZ19:AZ28)</f>
        <v>59957</v>
      </c>
      <c r="BA18" s="520"/>
      <c r="BB18" s="482"/>
      <c r="BC18" s="483"/>
      <c r="BD18" s="520"/>
      <c r="BE18" s="520">
        <f>SUM(BE19:BE28)</f>
        <v>397954</v>
      </c>
      <c r="BF18" s="520"/>
      <c r="BG18" s="482"/>
      <c r="BH18" s="483"/>
      <c r="BI18" s="520"/>
      <c r="BJ18" s="520">
        <f>SUM(BJ19:BJ28)</f>
        <v>281023</v>
      </c>
      <c r="BK18" s="520"/>
      <c r="BL18" s="482"/>
      <c r="BM18" s="483"/>
      <c r="BN18" s="520"/>
      <c r="BO18" s="520">
        <f>SUM(BO19:BO28)</f>
        <v>49413606</v>
      </c>
      <c r="BP18" s="520"/>
      <c r="BQ18" s="482"/>
      <c r="BR18" s="483"/>
      <c r="BS18" s="520"/>
      <c r="BT18" s="520">
        <f>SUM(BT19:BT28)</f>
        <v>53222591</v>
      </c>
      <c r="BU18" s="520"/>
      <c r="BV18" s="482"/>
      <c r="BW18" s="405"/>
    </row>
    <row r="19" spans="1:77" ht="12.75" customHeight="1" x14ac:dyDescent="0.2">
      <c r="A19" s="388"/>
      <c r="B19" s="388"/>
      <c r="D19" s="398" t="s">
        <v>447</v>
      </c>
      <c r="E19" s="404"/>
      <c r="F19" s="404"/>
      <c r="G19" s="101">
        <v>48965000</v>
      </c>
      <c r="H19" s="49"/>
      <c r="I19" s="101"/>
      <c r="J19" s="487"/>
      <c r="K19" s="487"/>
      <c r="L19" s="101">
        <v>0</v>
      </c>
      <c r="M19" s="49"/>
      <c r="N19" s="101"/>
      <c r="O19" s="487"/>
      <c r="P19" s="487"/>
      <c r="Q19" s="101">
        <v>0</v>
      </c>
      <c r="R19" s="49"/>
      <c r="S19" s="101"/>
      <c r="T19" s="487"/>
      <c r="U19" s="487"/>
      <c r="V19" s="101">
        <v>0</v>
      </c>
      <c r="W19" s="49"/>
      <c r="X19" s="101"/>
      <c r="Y19" s="487"/>
      <c r="Z19" s="487"/>
      <c r="AA19" s="101">
        <v>0</v>
      </c>
      <c r="AB19" s="49"/>
      <c r="AC19" s="101"/>
      <c r="AD19" s="487"/>
      <c r="AE19" s="487"/>
      <c r="AF19" s="101">
        <v>0</v>
      </c>
      <c r="AG19" s="49"/>
      <c r="AH19" s="101"/>
      <c r="AI19" s="487"/>
      <c r="AJ19" s="487"/>
      <c r="AK19" s="101">
        <v>0</v>
      </c>
      <c r="AL19" s="49"/>
      <c r="AM19" s="101"/>
      <c r="AN19" s="487"/>
      <c r="AO19" s="487"/>
      <c r="AP19" s="101">
        <v>0</v>
      </c>
      <c r="AQ19" s="49"/>
      <c r="AR19" s="101"/>
      <c r="AS19" s="487"/>
      <c r="AT19" s="487"/>
      <c r="AU19" s="101">
        <v>0</v>
      </c>
      <c r="AV19" s="49"/>
      <c r="AW19" s="101"/>
      <c r="AX19" s="487"/>
      <c r="AY19" s="487"/>
      <c r="AZ19" s="101">
        <v>0</v>
      </c>
      <c r="BA19" s="49"/>
      <c r="BB19" s="101"/>
      <c r="BC19" s="487"/>
      <c r="BD19" s="487"/>
      <c r="BE19" s="101">
        <v>0</v>
      </c>
      <c r="BF19" s="49"/>
      <c r="BG19" s="101"/>
      <c r="BH19" s="487"/>
      <c r="BI19" s="487"/>
      <c r="BJ19" s="101">
        <v>0</v>
      </c>
      <c r="BK19" s="49"/>
      <c r="BL19" s="101"/>
      <c r="BM19" s="487"/>
      <c r="BN19" s="487"/>
      <c r="BO19" s="101">
        <v>48964709</v>
      </c>
      <c r="BP19" s="49"/>
      <c r="BQ19" s="101"/>
      <c r="BR19" s="487"/>
      <c r="BS19" s="487"/>
      <c r="BT19" s="101">
        <f t="shared" ref="BT19:BT28" si="0">SUM(L19:BO19)</f>
        <v>48964709</v>
      </c>
      <c r="BU19" s="49"/>
      <c r="BV19" s="101"/>
      <c r="BW19" s="398"/>
      <c r="BX19" s="411"/>
      <c r="BY19" s="411"/>
    </row>
    <row r="20" spans="1:77" ht="12.75" customHeight="1" x14ac:dyDescent="0.2">
      <c r="A20" s="388"/>
      <c r="B20" s="388"/>
      <c r="D20" s="398" t="s">
        <v>393</v>
      </c>
      <c r="E20" s="404"/>
      <c r="F20" s="404"/>
      <c r="G20" s="101">
        <v>0</v>
      </c>
      <c r="H20" s="49"/>
      <c r="I20" s="101"/>
      <c r="J20" s="487"/>
      <c r="K20" s="487"/>
      <c r="L20" s="101">
        <v>0</v>
      </c>
      <c r="M20" s="49"/>
      <c r="N20" s="101"/>
      <c r="O20" s="487"/>
      <c r="P20" s="487"/>
      <c r="Q20" s="101">
        <v>0</v>
      </c>
      <c r="R20" s="49"/>
      <c r="S20" s="101"/>
      <c r="T20" s="487"/>
      <c r="U20" s="487"/>
      <c r="V20" s="101">
        <v>0</v>
      </c>
      <c r="W20" s="49"/>
      <c r="X20" s="101"/>
      <c r="Y20" s="487"/>
      <c r="Z20" s="487"/>
      <c r="AA20" s="101">
        <v>0</v>
      </c>
      <c r="AB20" s="49"/>
      <c r="AC20" s="101"/>
      <c r="AD20" s="487"/>
      <c r="AE20" s="487"/>
      <c r="AF20" s="101">
        <v>0</v>
      </c>
      <c r="AG20" s="49"/>
      <c r="AH20" s="101"/>
      <c r="AI20" s="487"/>
      <c r="AJ20" s="487"/>
      <c r="AK20" s="101">
        <v>0</v>
      </c>
      <c r="AL20" s="49"/>
      <c r="AM20" s="101"/>
      <c r="AN20" s="487"/>
      <c r="AO20" s="487"/>
      <c r="AP20" s="101">
        <v>0</v>
      </c>
      <c r="AQ20" s="49"/>
      <c r="AR20" s="101"/>
      <c r="AS20" s="487"/>
      <c r="AT20" s="487"/>
      <c r="AU20" s="101">
        <v>0</v>
      </c>
      <c r="AV20" s="49"/>
      <c r="AW20" s="101"/>
      <c r="AX20" s="487"/>
      <c r="AY20" s="487"/>
      <c r="AZ20" s="101">
        <v>0</v>
      </c>
      <c r="BA20" s="49"/>
      <c r="BB20" s="101"/>
      <c r="BC20" s="487"/>
      <c r="BD20" s="487"/>
      <c r="BE20" s="101">
        <v>0</v>
      </c>
      <c r="BF20" s="49"/>
      <c r="BG20" s="101"/>
      <c r="BH20" s="487"/>
      <c r="BI20" s="487"/>
      <c r="BJ20" s="101">
        <v>0</v>
      </c>
      <c r="BK20" s="49"/>
      <c r="BL20" s="101"/>
      <c r="BM20" s="487"/>
      <c r="BN20" s="487"/>
      <c r="BO20" s="101">
        <v>0</v>
      </c>
      <c r="BP20" s="49"/>
      <c r="BQ20" s="101"/>
      <c r="BR20" s="487"/>
      <c r="BS20" s="487"/>
      <c r="BT20" s="101">
        <f t="shared" si="0"/>
        <v>0</v>
      </c>
      <c r="BU20" s="49"/>
      <c r="BV20" s="101"/>
      <c r="BW20" s="398"/>
      <c r="BX20" s="411"/>
      <c r="BY20" s="411"/>
    </row>
    <row r="21" spans="1:77" ht="12.75" hidden="1" customHeight="1" x14ac:dyDescent="0.2">
      <c r="A21" s="388"/>
      <c r="B21" s="388"/>
      <c r="D21" s="398" t="s">
        <v>389</v>
      </c>
      <c r="E21" s="404"/>
      <c r="F21" s="404"/>
      <c r="G21" s="101">
        <v>0</v>
      </c>
      <c r="H21" s="49"/>
      <c r="I21" s="101"/>
      <c r="J21" s="487"/>
      <c r="K21" s="487"/>
      <c r="L21" s="101">
        <v>0</v>
      </c>
      <c r="M21" s="49"/>
      <c r="N21" s="101"/>
      <c r="O21" s="487"/>
      <c r="P21" s="487"/>
      <c r="Q21" s="101">
        <v>0</v>
      </c>
      <c r="R21" s="49"/>
      <c r="S21" s="101"/>
      <c r="T21" s="487"/>
      <c r="U21" s="487"/>
      <c r="V21" s="101">
        <v>0</v>
      </c>
      <c r="W21" s="49"/>
      <c r="X21" s="101"/>
      <c r="Y21" s="487"/>
      <c r="Z21" s="487"/>
      <c r="AA21" s="101">
        <v>0</v>
      </c>
      <c r="AB21" s="49"/>
      <c r="AC21" s="101"/>
      <c r="AD21" s="487"/>
      <c r="AE21" s="487"/>
      <c r="AF21" s="101">
        <v>0</v>
      </c>
      <c r="AG21" s="49"/>
      <c r="AH21" s="101"/>
      <c r="AI21" s="487"/>
      <c r="AJ21" s="487"/>
      <c r="AK21" s="101">
        <v>0</v>
      </c>
      <c r="AL21" s="49"/>
      <c r="AM21" s="101"/>
      <c r="AN21" s="487"/>
      <c r="AO21" s="487"/>
      <c r="AP21" s="101">
        <v>0</v>
      </c>
      <c r="AQ21" s="49"/>
      <c r="AR21" s="101"/>
      <c r="AS21" s="487"/>
      <c r="AT21" s="487"/>
      <c r="AU21" s="101">
        <v>0</v>
      </c>
      <c r="AV21" s="49"/>
      <c r="AW21" s="101"/>
      <c r="AX21" s="487"/>
      <c r="AY21" s="487"/>
      <c r="AZ21" s="101">
        <v>0</v>
      </c>
      <c r="BA21" s="49"/>
      <c r="BB21" s="101"/>
      <c r="BC21" s="487"/>
      <c r="BD21" s="487"/>
      <c r="BE21" s="101">
        <v>0</v>
      </c>
      <c r="BF21" s="49"/>
      <c r="BG21" s="101"/>
      <c r="BH21" s="487"/>
      <c r="BI21" s="487"/>
      <c r="BJ21" s="101">
        <v>0</v>
      </c>
      <c r="BK21" s="49"/>
      <c r="BL21" s="101"/>
      <c r="BM21" s="487"/>
      <c r="BN21" s="487"/>
      <c r="BO21" s="101">
        <v>0</v>
      </c>
      <c r="BP21" s="49"/>
      <c r="BQ21" s="101"/>
      <c r="BR21" s="487"/>
      <c r="BS21" s="487"/>
      <c r="BT21" s="101">
        <f t="shared" si="0"/>
        <v>0</v>
      </c>
      <c r="BU21" s="49"/>
      <c r="BV21" s="101"/>
      <c r="BW21" s="398"/>
      <c r="BX21" s="411"/>
      <c r="BY21" s="411"/>
    </row>
    <row r="22" spans="1:77" ht="12.75" hidden="1" customHeight="1" x14ac:dyDescent="0.2">
      <c r="A22" s="388"/>
      <c r="B22" s="388"/>
      <c r="D22" s="398" t="s">
        <v>448</v>
      </c>
      <c r="E22" s="404"/>
      <c r="F22" s="404"/>
      <c r="G22" s="101">
        <v>0</v>
      </c>
      <c r="H22" s="49"/>
      <c r="I22" s="101"/>
      <c r="J22" s="487"/>
      <c r="K22" s="487"/>
      <c r="L22" s="101">
        <v>0</v>
      </c>
      <c r="M22" s="49"/>
      <c r="N22" s="101"/>
      <c r="O22" s="487"/>
      <c r="P22" s="487"/>
      <c r="Q22" s="101">
        <v>0</v>
      </c>
      <c r="R22" s="49"/>
      <c r="S22" s="101"/>
      <c r="T22" s="487"/>
      <c r="U22" s="487"/>
      <c r="V22" s="101">
        <v>0</v>
      </c>
      <c r="W22" s="49"/>
      <c r="X22" s="101"/>
      <c r="Y22" s="487"/>
      <c r="Z22" s="487"/>
      <c r="AA22" s="101">
        <v>0</v>
      </c>
      <c r="AB22" s="49"/>
      <c r="AC22" s="101"/>
      <c r="AD22" s="487"/>
      <c r="AE22" s="487"/>
      <c r="AF22" s="101">
        <v>0</v>
      </c>
      <c r="AG22" s="49"/>
      <c r="AH22" s="101"/>
      <c r="AI22" s="487"/>
      <c r="AJ22" s="487"/>
      <c r="AK22" s="101">
        <v>0</v>
      </c>
      <c r="AL22" s="49"/>
      <c r="AM22" s="101"/>
      <c r="AN22" s="487"/>
      <c r="AO22" s="487"/>
      <c r="AP22" s="101">
        <v>0</v>
      </c>
      <c r="AQ22" s="49"/>
      <c r="AR22" s="101"/>
      <c r="AS22" s="487"/>
      <c r="AT22" s="487"/>
      <c r="AU22" s="101">
        <v>0</v>
      </c>
      <c r="AV22" s="49"/>
      <c r="AW22" s="101"/>
      <c r="AX22" s="487"/>
      <c r="AY22" s="487"/>
      <c r="AZ22" s="101">
        <v>0</v>
      </c>
      <c r="BA22" s="49"/>
      <c r="BB22" s="101"/>
      <c r="BC22" s="487"/>
      <c r="BD22" s="487"/>
      <c r="BE22" s="101">
        <v>0</v>
      </c>
      <c r="BF22" s="49"/>
      <c r="BG22" s="101"/>
      <c r="BH22" s="487"/>
      <c r="BI22" s="487"/>
      <c r="BJ22" s="101">
        <v>0</v>
      </c>
      <c r="BK22" s="49"/>
      <c r="BL22" s="101"/>
      <c r="BM22" s="487"/>
      <c r="BN22" s="487"/>
      <c r="BO22" s="101">
        <v>0</v>
      </c>
      <c r="BP22" s="49"/>
      <c r="BQ22" s="101"/>
      <c r="BR22" s="487"/>
      <c r="BS22" s="487"/>
      <c r="BT22" s="101">
        <f t="shared" si="0"/>
        <v>0</v>
      </c>
      <c r="BU22" s="49"/>
      <c r="BV22" s="101"/>
      <c r="BW22" s="398"/>
      <c r="BX22" s="411"/>
      <c r="BY22" s="411"/>
    </row>
    <row r="23" spans="1:77" ht="12.75" hidden="1" customHeight="1" x14ac:dyDescent="0.2">
      <c r="A23" s="388"/>
      <c r="B23" s="388"/>
      <c r="D23" s="398" t="s">
        <v>449</v>
      </c>
      <c r="E23" s="404"/>
      <c r="F23" s="404"/>
      <c r="G23" s="101">
        <v>0</v>
      </c>
      <c r="H23" s="49"/>
      <c r="I23" s="101"/>
      <c r="J23" s="487"/>
      <c r="K23" s="487"/>
      <c r="L23" s="101">
        <v>0</v>
      </c>
      <c r="M23" s="49"/>
      <c r="N23" s="101"/>
      <c r="O23" s="487"/>
      <c r="P23" s="487"/>
      <c r="Q23" s="101">
        <v>0</v>
      </c>
      <c r="R23" s="49"/>
      <c r="S23" s="101"/>
      <c r="T23" s="487"/>
      <c r="U23" s="487"/>
      <c r="V23" s="101">
        <v>0</v>
      </c>
      <c r="W23" s="49"/>
      <c r="X23" s="101"/>
      <c r="Y23" s="487"/>
      <c r="Z23" s="487"/>
      <c r="AA23" s="101">
        <v>0</v>
      </c>
      <c r="AB23" s="49"/>
      <c r="AC23" s="101"/>
      <c r="AD23" s="487"/>
      <c r="AE23" s="487"/>
      <c r="AF23" s="101">
        <v>0</v>
      </c>
      <c r="AG23" s="49"/>
      <c r="AH23" s="101"/>
      <c r="AI23" s="487"/>
      <c r="AJ23" s="487"/>
      <c r="AK23" s="101">
        <v>0</v>
      </c>
      <c r="AL23" s="49"/>
      <c r="AM23" s="101"/>
      <c r="AN23" s="487"/>
      <c r="AO23" s="487"/>
      <c r="AP23" s="101">
        <v>0</v>
      </c>
      <c r="AQ23" s="49"/>
      <c r="AR23" s="101"/>
      <c r="AS23" s="487"/>
      <c r="AT23" s="487"/>
      <c r="AU23" s="101">
        <v>0</v>
      </c>
      <c r="AV23" s="49"/>
      <c r="AW23" s="101"/>
      <c r="AX23" s="487"/>
      <c r="AY23" s="487"/>
      <c r="AZ23" s="101">
        <v>0</v>
      </c>
      <c r="BA23" s="49"/>
      <c r="BB23" s="101"/>
      <c r="BC23" s="487"/>
      <c r="BD23" s="487"/>
      <c r="BE23" s="101">
        <v>0</v>
      </c>
      <c r="BF23" s="49"/>
      <c r="BG23" s="101"/>
      <c r="BH23" s="487"/>
      <c r="BI23" s="487"/>
      <c r="BJ23" s="101">
        <v>0</v>
      </c>
      <c r="BK23" s="49"/>
      <c r="BL23" s="101"/>
      <c r="BM23" s="487"/>
      <c r="BN23" s="487"/>
      <c r="BO23" s="101">
        <v>0</v>
      </c>
      <c r="BP23" s="49"/>
      <c r="BQ23" s="101"/>
      <c r="BR23" s="487"/>
      <c r="BS23" s="487"/>
      <c r="BT23" s="101">
        <f t="shared" si="0"/>
        <v>0</v>
      </c>
      <c r="BU23" s="49"/>
      <c r="BV23" s="101"/>
      <c r="BW23" s="398"/>
      <c r="BX23" s="411"/>
      <c r="BY23" s="411"/>
    </row>
    <row r="24" spans="1:77" ht="12.75" customHeight="1" x14ac:dyDescent="0.2">
      <c r="A24" s="388"/>
      <c r="B24" s="388"/>
      <c r="D24" s="398" t="s">
        <v>450</v>
      </c>
      <c r="E24" s="404"/>
      <c r="F24" s="404"/>
      <c r="G24" s="101">
        <v>0</v>
      </c>
      <c r="H24" s="49"/>
      <c r="I24" s="101"/>
      <c r="J24" s="487"/>
      <c r="K24" s="487"/>
      <c r="L24" s="101">
        <v>0</v>
      </c>
      <c r="M24" s="49"/>
      <c r="N24" s="101"/>
      <c r="O24" s="487"/>
      <c r="P24" s="487"/>
      <c r="Q24" s="101">
        <v>0</v>
      </c>
      <c r="R24" s="49"/>
      <c r="S24" s="101"/>
      <c r="T24" s="487"/>
      <c r="U24" s="487"/>
      <c r="V24" s="101">
        <v>0</v>
      </c>
      <c r="W24" s="49"/>
      <c r="X24" s="101"/>
      <c r="Y24" s="487"/>
      <c r="Z24" s="487"/>
      <c r="AA24" s="101">
        <v>0</v>
      </c>
      <c r="AB24" s="49"/>
      <c r="AC24" s="101"/>
      <c r="AD24" s="487"/>
      <c r="AE24" s="487"/>
      <c r="AF24" s="101">
        <v>0</v>
      </c>
      <c r="AG24" s="49"/>
      <c r="AH24" s="101"/>
      <c r="AI24" s="487"/>
      <c r="AJ24" s="487"/>
      <c r="AK24" s="101">
        <v>0</v>
      </c>
      <c r="AL24" s="49"/>
      <c r="AM24" s="101"/>
      <c r="AN24" s="487"/>
      <c r="AO24" s="487"/>
      <c r="AP24" s="101">
        <v>0</v>
      </c>
      <c r="AQ24" s="49"/>
      <c r="AR24" s="101"/>
      <c r="AS24" s="487"/>
      <c r="AT24" s="487"/>
      <c r="AU24" s="101">
        <v>0</v>
      </c>
      <c r="AV24" s="49"/>
      <c r="AW24" s="101"/>
      <c r="AX24" s="487"/>
      <c r="AY24" s="487"/>
      <c r="AZ24" s="101">
        <v>0</v>
      </c>
      <c r="BA24" s="49"/>
      <c r="BB24" s="101"/>
      <c r="BC24" s="487"/>
      <c r="BD24" s="487"/>
      <c r="BE24" s="101">
        <v>0</v>
      </c>
      <c r="BF24" s="49"/>
      <c r="BG24" s="101"/>
      <c r="BH24" s="487"/>
      <c r="BI24" s="487"/>
      <c r="BJ24" s="101">
        <v>0</v>
      </c>
      <c r="BK24" s="49"/>
      <c r="BL24" s="101"/>
      <c r="BM24" s="487"/>
      <c r="BN24" s="487"/>
      <c r="BO24" s="101">
        <v>0</v>
      </c>
      <c r="BP24" s="49"/>
      <c r="BQ24" s="101"/>
      <c r="BR24" s="487"/>
      <c r="BS24" s="487"/>
      <c r="BT24" s="101">
        <f t="shared" si="0"/>
        <v>0</v>
      </c>
      <c r="BU24" s="49"/>
      <c r="BV24" s="101"/>
      <c r="BW24" s="398"/>
      <c r="BX24" s="411"/>
      <c r="BY24" s="411"/>
    </row>
    <row r="25" spans="1:77" ht="12.75" customHeight="1" x14ac:dyDescent="0.2">
      <c r="A25" s="388"/>
      <c r="B25" s="388"/>
      <c r="D25" s="398" t="s">
        <v>451</v>
      </c>
      <c r="E25" s="404"/>
      <c r="F25" s="404"/>
      <c r="G25" s="101">
        <v>0</v>
      </c>
      <c r="H25" s="49"/>
      <c r="I25" s="101"/>
      <c r="J25" s="487"/>
      <c r="K25" s="487"/>
      <c r="L25" s="101">
        <v>0</v>
      </c>
      <c r="M25" s="49"/>
      <c r="N25" s="101"/>
      <c r="O25" s="487"/>
      <c r="P25" s="487"/>
      <c r="Q25" s="101">
        <v>0</v>
      </c>
      <c r="R25" s="49"/>
      <c r="S25" s="101"/>
      <c r="T25" s="487"/>
      <c r="U25" s="487"/>
      <c r="V25" s="101">
        <v>0</v>
      </c>
      <c r="W25" s="49"/>
      <c r="X25" s="101"/>
      <c r="Y25" s="487"/>
      <c r="Z25" s="487"/>
      <c r="AA25" s="101">
        <v>0</v>
      </c>
      <c r="AB25" s="49"/>
      <c r="AC25" s="101"/>
      <c r="AD25" s="487"/>
      <c r="AE25" s="487"/>
      <c r="AF25" s="101">
        <v>0</v>
      </c>
      <c r="AG25" s="49"/>
      <c r="AH25" s="101"/>
      <c r="AI25" s="487"/>
      <c r="AJ25" s="487"/>
      <c r="AK25" s="101">
        <v>0</v>
      </c>
      <c r="AL25" s="49"/>
      <c r="AM25" s="101"/>
      <c r="AN25" s="487"/>
      <c r="AO25" s="487"/>
      <c r="AP25" s="101">
        <v>0</v>
      </c>
      <c r="AQ25" s="49"/>
      <c r="AR25" s="101"/>
      <c r="AS25" s="487"/>
      <c r="AT25" s="487"/>
      <c r="AU25" s="101">
        <v>0</v>
      </c>
      <c r="AV25" s="49"/>
      <c r="AW25" s="101"/>
      <c r="AX25" s="487"/>
      <c r="AY25" s="487"/>
      <c r="AZ25" s="101">
        <v>0</v>
      </c>
      <c r="BA25" s="49"/>
      <c r="BB25" s="101"/>
      <c r="BC25" s="487"/>
      <c r="BD25" s="487"/>
      <c r="BE25" s="101">
        <v>0</v>
      </c>
      <c r="BF25" s="49"/>
      <c r="BG25" s="101"/>
      <c r="BH25" s="487"/>
      <c r="BI25" s="487"/>
      <c r="BJ25" s="101">
        <v>0</v>
      </c>
      <c r="BK25" s="49"/>
      <c r="BL25" s="101"/>
      <c r="BM25" s="487"/>
      <c r="BN25" s="487"/>
      <c r="BO25" s="101">
        <v>0</v>
      </c>
      <c r="BP25" s="49"/>
      <c r="BQ25" s="101"/>
      <c r="BR25" s="487"/>
      <c r="BS25" s="487"/>
      <c r="BT25" s="101">
        <f t="shared" si="0"/>
        <v>0</v>
      </c>
      <c r="BU25" s="49"/>
      <c r="BV25" s="101"/>
      <c r="BW25" s="398"/>
      <c r="BX25" s="411"/>
      <c r="BY25" s="411"/>
    </row>
    <row r="26" spans="1:77" ht="12.75" customHeight="1" x14ac:dyDescent="0.2">
      <c r="A26" s="388"/>
      <c r="B26" s="388"/>
      <c r="D26" s="398" t="s">
        <v>372</v>
      </c>
      <c r="E26" s="404"/>
      <c r="F26" s="404"/>
      <c r="G26" s="101">
        <v>3500000</v>
      </c>
      <c r="H26" s="49"/>
      <c r="I26" s="101"/>
      <c r="J26" s="487"/>
      <c r="K26" s="487"/>
      <c r="L26" s="101">
        <v>1200137</v>
      </c>
      <c r="M26" s="49"/>
      <c r="N26" s="101"/>
      <c r="O26" s="487"/>
      <c r="P26" s="487"/>
      <c r="Q26" s="101">
        <v>335047</v>
      </c>
      <c r="R26" s="49"/>
      <c r="S26" s="101"/>
      <c r="T26" s="487"/>
      <c r="U26" s="487"/>
      <c r="V26" s="101">
        <v>112559</v>
      </c>
      <c r="W26" s="49"/>
      <c r="X26" s="101"/>
      <c r="Y26" s="487"/>
      <c r="Z26" s="487"/>
      <c r="AA26" s="101">
        <v>339545</v>
      </c>
      <c r="AB26" s="49"/>
      <c r="AC26" s="101"/>
      <c r="AD26" s="487"/>
      <c r="AE26" s="487"/>
      <c r="AF26" s="101">
        <v>212255</v>
      </c>
      <c r="AG26" s="49"/>
      <c r="AH26" s="101"/>
      <c r="AI26" s="487"/>
      <c r="AJ26" s="487"/>
      <c r="AK26" s="101">
        <v>223023</v>
      </c>
      <c r="AL26" s="49"/>
      <c r="AM26" s="101"/>
      <c r="AN26" s="487"/>
      <c r="AO26" s="487"/>
      <c r="AP26" s="101">
        <v>333330</v>
      </c>
      <c r="AQ26" s="49"/>
      <c r="AR26" s="101"/>
      <c r="AS26" s="487"/>
      <c r="AT26" s="487"/>
      <c r="AU26" s="101">
        <v>314155</v>
      </c>
      <c r="AV26" s="49"/>
      <c r="AW26" s="101"/>
      <c r="AX26" s="487"/>
      <c r="AY26" s="487"/>
      <c r="AZ26" s="101">
        <v>59957</v>
      </c>
      <c r="BA26" s="49"/>
      <c r="BB26" s="101"/>
      <c r="BC26" s="487"/>
      <c r="BD26" s="487"/>
      <c r="BE26" s="101">
        <v>397954</v>
      </c>
      <c r="BF26" s="49"/>
      <c r="BG26" s="101"/>
      <c r="BH26" s="487"/>
      <c r="BI26" s="487"/>
      <c r="BJ26" s="101">
        <v>281023</v>
      </c>
      <c r="BK26" s="49"/>
      <c r="BL26" s="101"/>
      <c r="BM26" s="487"/>
      <c r="BN26" s="487"/>
      <c r="BO26" s="101">
        <v>448897</v>
      </c>
      <c r="BP26" s="49"/>
      <c r="BQ26" s="101"/>
      <c r="BR26" s="487"/>
      <c r="BS26" s="487"/>
      <c r="BT26" s="101">
        <f>SUM(L26:BO26)</f>
        <v>4257882</v>
      </c>
      <c r="BU26" s="49"/>
      <c r="BV26" s="101"/>
      <c r="BW26" s="398"/>
      <c r="BX26" s="411"/>
      <c r="BY26" s="411"/>
    </row>
    <row r="27" spans="1:77" ht="12.75" x14ac:dyDescent="0.2">
      <c r="A27" s="388"/>
      <c r="B27" s="388"/>
      <c r="D27" s="398" t="s">
        <v>452</v>
      </c>
      <c r="E27" s="404"/>
      <c r="F27" s="427"/>
      <c r="G27" s="496">
        <v>0</v>
      </c>
      <c r="H27" s="90"/>
      <c r="I27" s="101"/>
      <c r="J27" s="487"/>
      <c r="K27" s="497"/>
      <c r="L27" s="496">
        <v>0</v>
      </c>
      <c r="M27" s="90"/>
      <c r="N27" s="101"/>
      <c r="O27" s="487"/>
      <c r="P27" s="497"/>
      <c r="Q27" s="496">
        <v>0</v>
      </c>
      <c r="R27" s="90"/>
      <c r="S27" s="101"/>
      <c r="T27" s="487"/>
      <c r="U27" s="497"/>
      <c r="V27" s="496">
        <v>0</v>
      </c>
      <c r="W27" s="90"/>
      <c r="X27" s="101"/>
      <c r="Y27" s="487"/>
      <c r="Z27" s="497"/>
      <c r="AA27" s="496">
        <v>0</v>
      </c>
      <c r="AB27" s="90"/>
      <c r="AC27" s="101"/>
      <c r="AD27" s="487"/>
      <c r="AE27" s="497"/>
      <c r="AF27" s="496">
        <v>0</v>
      </c>
      <c r="AG27" s="90"/>
      <c r="AH27" s="101"/>
      <c r="AI27" s="487"/>
      <c r="AJ27" s="497"/>
      <c r="AK27" s="496">
        <v>0</v>
      </c>
      <c r="AL27" s="90"/>
      <c r="AM27" s="101"/>
      <c r="AN27" s="487"/>
      <c r="AO27" s="497"/>
      <c r="AP27" s="496">
        <v>0</v>
      </c>
      <c r="AQ27" s="90"/>
      <c r="AR27" s="101"/>
      <c r="AS27" s="487"/>
      <c r="AT27" s="497"/>
      <c r="AU27" s="496">
        <v>0</v>
      </c>
      <c r="AV27" s="90"/>
      <c r="AW27" s="101"/>
      <c r="AX27" s="487"/>
      <c r="AY27" s="497"/>
      <c r="AZ27" s="496">
        <v>0</v>
      </c>
      <c r="BA27" s="90"/>
      <c r="BB27" s="101"/>
      <c r="BC27" s="487"/>
      <c r="BD27" s="497"/>
      <c r="BE27" s="496">
        <v>0</v>
      </c>
      <c r="BF27" s="90"/>
      <c r="BG27" s="101"/>
      <c r="BH27" s="487"/>
      <c r="BI27" s="497"/>
      <c r="BJ27" s="496">
        <v>0</v>
      </c>
      <c r="BK27" s="90"/>
      <c r="BL27" s="101"/>
      <c r="BM27" s="487"/>
      <c r="BN27" s="497"/>
      <c r="BO27" s="496">
        <v>0</v>
      </c>
      <c r="BP27" s="90"/>
      <c r="BQ27" s="101"/>
      <c r="BR27" s="487"/>
      <c r="BS27" s="497"/>
      <c r="BT27" s="496">
        <f t="shared" si="0"/>
        <v>0</v>
      </c>
      <c r="BU27" s="90"/>
      <c r="BV27" s="101"/>
      <c r="BW27" s="398"/>
      <c r="BX27" s="411"/>
      <c r="BY27" s="411"/>
    </row>
    <row r="28" spans="1:77" ht="12.75" hidden="1" customHeight="1" x14ac:dyDescent="0.2">
      <c r="A28" s="388"/>
      <c r="B28" s="388"/>
      <c r="D28" s="398" t="s">
        <v>453</v>
      </c>
      <c r="E28" s="404"/>
      <c r="F28" s="427"/>
      <c r="G28" s="496">
        <v>0</v>
      </c>
      <c r="H28" s="90"/>
      <c r="I28" s="101"/>
      <c r="J28" s="487"/>
      <c r="K28" s="497"/>
      <c r="L28" s="496">
        <v>0</v>
      </c>
      <c r="M28" s="90"/>
      <c r="N28" s="101"/>
      <c r="O28" s="487"/>
      <c r="P28" s="497"/>
      <c r="Q28" s="496">
        <v>0</v>
      </c>
      <c r="R28" s="90"/>
      <c r="S28" s="101"/>
      <c r="T28" s="487"/>
      <c r="U28" s="497"/>
      <c r="V28" s="496">
        <v>0</v>
      </c>
      <c r="W28" s="90"/>
      <c r="X28" s="101"/>
      <c r="Y28" s="487"/>
      <c r="Z28" s="497"/>
      <c r="AA28" s="496">
        <v>0</v>
      </c>
      <c r="AB28" s="90"/>
      <c r="AC28" s="101"/>
      <c r="AD28" s="487"/>
      <c r="AE28" s="497"/>
      <c r="AF28" s="496">
        <v>0</v>
      </c>
      <c r="AG28" s="90"/>
      <c r="AH28" s="101"/>
      <c r="AI28" s="487"/>
      <c r="AJ28" s="497"/>
      <c r="AK28" s="496">
        <v>0</v>
      </c>
      <c r="AL28" s="90"/>
      <c r="AM28" s="101"/>
      <c r="AN28" s="487"/>
      <c r="AO28" s="497"/>
      <c r="AP28" s="496">
        <v>0</v>
      </c>
      <c r="AQ28" s="90"/>
      <c r="AR28" s="101"/>
      <c r="AS28" s="487"/>
      <c r="AT28" s="497"/>
      <c r="AU28" s="496">
        <v>0</v>
      </c>
      <c r="AV28" s="90"/>
      <c r="AW28" s="101"/>
      <c r="AX28" s="487"/>
      <c r="AY28" s="497"/>
      <c r="AZ28" s="496">
        <v>0</v>
      </c>
      <c r="BA28" s="90"/>
      <c r="BB28" s="101"/>
      <c r="BC28" s="487"/>
      <c r="BD28" s="497"/>
      <c r="BE28" s="496">
        <v>0</v>
      </c>
      <c r="BF28" s="90"/>
      <c r="BG28" s="101"/>
      <c r="BH28" s="487"/>
      <c r="BI28" s="497"/>
      <c r="BJ28" s="496">
        <v>0</v>
      </c>
      <c r="BK28" s="90"/>
      <c r="BL28" s="101"/>
      <c r="BM28" s="487"/>
      <c r="BN28" s="497"/>
      <c r="BO28" s="496">
        <v>0</v>
      </c>
      <c r="BP28" s="90"/>
      <c r="BQ28" s="101"/>
      <c r="BR28" s="487"/>
      <c r="BS28" s="497"/>
      <c r="BT28" s="496">
        <f t="shared" si="0"/>
        <v>0</v>
      </c>
      <c r="BU28" s="90"/>
      <c r="BV28" s="101"/>
      <c r="BW28" s="398"/>
      <c r="BX28" s="411"/>
      <c r="BY28" s="411"/>
    </row>
    <row r="29" spans="1:77" ht="12.75" x14ac:dyDescent="0.2">
      <c r="A29" s="388"/>
      <c r="B29" s="388"/>
      <c r="D29" s="398"/>
      <c r="E29" s="404"/>
      <c r="F29" s="388"/>
      <c r="G29" s="101"/>
      <c r="H29" s="101"/>
      <c r="I29" s="101"/>
      <c r="J29" s="487"/>
      <c r="K29" s="101"/>
      <c r="L29" s="101"/>
      <c r="M29" s="101"/>
      <c r="N29" s="101"/>
      <c r="O29" s="487"/>
      <c r="P29" s="101"/>
      <c r="Q29" s="101"/>
      <c r="R29" s="101"/>
      <c r="S29" s="101"/>
      <c r="T29" s="487"/>
      <c r="U29" s="101"/>
      <c r="V29" s="101"/>
      <c r="W29" s="101"/>
      <c r="X29" s="101"/>
      <c r="Y29" s="487"/>
      <c r="Z29" s="101"/>
      <c r="AA29" s="101"/>
      <c r="AB29" s="101"/>
      <c r="AC29" s="101"/>
      <c r="AD29" s="487"/>
      <c r="AE29" s="101"/>
      <c r="AF29" s="101"/>
      <c r="AG29" s="101"/>
      <c r="AH29" s="101"/>
      <c r="AI29" s="487"/>
      <c r="AJ29" s="101"/>
      <c r="AK29" s="101"/>
      <c r="AL29" s="101"/>
      <c r="AM29" s="101"/>
      <c r="AN29" s="487"/>
      <c r="AO29" s="101"/>
      <c r="AP29" s="101"/>
      <c r="AQ29" s="101"/>
      <c r="AR29" s="101"/>
      <c r="AS29" s="487"/>
      <c r="AT29" s="101"/>
      <c r="AU29" s="101"/>
      <c r="AV29" s="101"/>
      <c r="AW29" s="101"/>
      <c r="AX29" s="487"/>
      <c r="AY29" s="101"/>
      <c r="AZ29" s="101"/>
      <c r="BA29" s="101"/>
      <c r="BB29" s="101"/>
      <c r="BC29" s="487"/>
      <c r="BD29" s="101"/>
      <c r="BE29" s="101"/>
      <c r="BF29" s="101"/>
      <c r="BG29" s="101"/>
      <c r="BH29" s="487"/>
      <c r="BI29" s="101"/>
      <c r="BJ29" s="101"/>
      <c r="BK29" s="101"/>
      <c r="BL29" s="101"/>
      <c r="BM29" s="487"/>
      <c r="BN29" s="101"/>
      <c r="BO29" s="101"/>
      <c r="BP29" s="101"/>
      <c r="BQ29" s="101"/>
      <c r="BR29" s="487"/>
      <c r="BS29" s="101"/>
      <c r="BT29" s="101"/>
      <c r="BU29" s="101"/>
      <c r="BV29" s="101"/>
      <c r="BW29" s="398"/>
      <c r="BX29" s="411"/>
      <c r="BY29" s="411"/>
    </row>
    <row r="30" spans="1:77" s="411" customFormat="1" ht="12.75" x14ac:dyDescent="0.2">
      <c r="A30" s="389"/>
      <c r="B30" s="389"/>
      <c r="D30" s="405" t="s">
        <v>454</v>
      </c>
      <c r="E30" s="407"/>
      <c r="F30" s="389"/>
      <c r="G30" s="482">
        <f>SUM(G31:G33)</f>
        <v>4880000</v>
      </c>
      <c r="H30" s="482"/>
      <c r="I30" s="482"/>
      <c r="J30" s="483"/>
      <c r="K30" s="482"/>
      <c r="L30" s="482">
        <f>SUM(L31:L33)</f>
        <v>0</v>
      </c>
      <c r="M30" s="482"/>
      <c r="N30" s="482"/>
      <c r="O30" s="483"/>
      <c r="P30" s="482"/>
      <c r="Q30" s="482">
        <f>SUM(Q31:Q33)</f>
        <v>0</v>
      </c>
      <c r="R30" s="482"/>
      <c r="S30" s="482"/>
      <c r="T30" s="483"/>
      <c r="U30" s="482"/>
      <c r="V30" s="482">
        <f>SUM(V31:V33)</f>
        <v>0</v>
      </c>
      <c r="W30" s="482"/>
      <c r="X30" s="482"/>
      <c r="Y30" s="483"/>
      <c r="Z30" s="482"/>
      <c r="AA30" s="482">
        <f>SUM(AA31:AA33)</f>
        <v>0</v>
      </c>
      <c r="AB30" s="482"/>
      <c r="AC30" s="482"/>
      <c r="AD30" s="483"/>
      <c r="AE30" s="482"/>
      <c r="AF30" s="482">
        <f>SUM(AF31:AF33)</f>
        <v>0</v>
      </c>
      <c r="AG30" s="482"/>
      <c r="AH30" s="482"/>
      <c r="AI30" s="483"/>
      <c r="AJ30" s="482"/>
      <c r="AK30" s="482">
        <f>SUM(AK31:AK33)</f>
        <v>0</v>
      </c>
      <c r="AL30" s="482"/>
      <c r="AM30" s="482"/>
      <c r="AN30" s="483"/>
      <c r="AO30" s="482"/>
      <c r="AP30" s="482">
        <f>SUM(AP31:AP33)</f>
        <v>0</v>
      </c>
      <c r="AQ30" s="482"/>
      <c r="AR30" s="482"/>
      <c r="AS30" s="483"/>
      <c r="AT30" s="482"/>
      <c r="AU30" s="482">
        <f>SUM(AU31:AU33)</f>
        <v>0</v>
      </c>
      <c r="AV30" s="482"/>
      <c r="AW30" s="482"/>
      <c r="AX30" s="483"/>
      <c r="AY30" s="482"/>
      <c r="AZ30" s="482">
        <f>SUM(AZ31:AZ33)</f>
        <v>0</v>
      </c>
      <c r="BA30" s="482"/>
      <c r="BB30" s="482"/>
      <c r="BC30" s="483"/>
      <c r="BD30" s="482"/>
      <c r="BE30" s="482">
        <f>SUM(BE31:BE33)</f>
        <v>0</v>
      </c>
      <c r="BF30" s="482"/>
      <c r="BG30" s="482"/>
      <c r="BH30" s="483"/>
      <c r="BI30" s="482"/>
      <c r="BJ30" s="482">
        <f>SUM(BJ31:BJ33)</f>
        <v>6805000</v>
      </c>
      <c r="BK30" s="482"/>
      <c r="BL30" s="482"/>
      <c r="BM30" s="483"/>
      <c r="BN30" s="482"/>
      <c r="BO30" s="482">
        <f>SUM(BO31:BO33)</f>
        <v>0</v>
      </c>
      <c r="BP30" s="482"/>
      <c r="BQ30" s="482"/>
      <c r="BR30" s="483"/>
      <c r="BS30" s="388"/>
      <c r="BT30" s="482">
        <f>SUM(BT31:BT33)</f>
        <v>6805000</v>
      </c>
      <c r="BU30" s="101"/>
      <c r="BV30" s="482"/>
      <c r="BW30" s="405"/>
    </row>
    <row r="31" spans="1:77" ht="12.75" x14ac:dyDescent="0.2">
      <c r="A31" s="388"/>
      <c r="B31" s="388"/>
      <c r="D31" s="398" t="s">
        <v>373</v>
      </c>
      <c r="E31" s="404"/>
      <c r="F31" s="412"/>
      <c r="G31" s="485">
        <f>G36+G41+G51+G61+G46+G56</f>
        <v>4880000</v>
      </c>
      <c r="H31" s="486"/>
      <c r="I31" s="101"/>
      <c r="J31" s="487"/>
      <c r="K31" s="488"/>
      <c r="L31" s="485">
        <v>0</v>
      </c>
      <c r="M31" s="486"/>
      <c r="N31" s="101"/>
      <c r="O31" s="487"/>
      <c r="P31" s="488"/>
      <c r="Q31" s="485">
        <f>Q36+Q41+Q51+Q61+Q46+Q56</f>
        <v>0</v>
      </c>
      <c r="R31" s="486"/>
      <c r="S31" s="101"/>
      <c r="T31" s="46"/>
      <c r="U31" s="488"/>
      <c r="V31" s="485">
        <v>0</v>
      </c>
      <c r="W31" s="486"/>
      <c r="X31" s="101"/>
      <c r="Y31" s="487"/>
      <c r="Z31" s="488"/>
      <c r="AA31" s="485">
        <v>0</v>
      </c>
      <c r="AB31" s="486"/>
      <c r="AC31" s="101"/>
      <c r="AD31" s="487"/>
      <c r="AE31" s="488"/>
      <c r="AF31" s="485">
        <v>0</v>
      </c>
      <c r="AG31" s="486"/>
      <c r="AH31" s="101"/>
      <c r="AI31" s="487"/>
      <c r="AJ31" s="488"/>
      <c r="AK31" s="485">
        <v>0</v>
      </c>
      <c r="AL31" s="486"/>
      <c r="AM31" s="101"/>
      <c r="AN31" s="487"/>
      <c r="AO31" s="488"/>
      <c r="AP31" s="485">
        <v>0</v>
      </c>
      <c r="AQ31" s="486"/>
      <c r="AR31" s="101"/>
      <c r="AS31" s="487"/>
      <c r="AT31" s="488"/>
      <c r="AU31" s="485">
        <v>0</v>
      </c>
      <c r="AV31" s="486"/>
      <c r="AW31" s="101"/>
      <c r="AX31" s="487"/>
      <c r="AY31" s="488"/>
      <c r="AZ31" s="485">
        <v>0</v>
      </c>
      <c r="BA31" s="486"/>
      <c r="BB31" s="101"/>
      <c r="BC31" s="487"/>
      <c r="BD31" s="488"/>
      <c r="BE31" s="485">
        <f>BE36+BE41+BE51+BE61+BE46+BE56</f>
        <v>0</v>
      </c>
      <c r="BF31" s="486"/>
      <c r="BG31" s="101"/>
      <c r="BH31" s="487"/>
      <c r="BI31" s="488"/>
      <c r="BJ31" s="485">
        <f>BJ36+BJ41+BJ51+BJ61+BJ46+BJ56</f>
        <v>6805000</v>
      </c>
      <c r="BK31" s="486"/>
      <c r="BL31" s="101"/>
      <c r="BM31" s="487"/>
      <c r="BN31" s="488"/>
      <c r="BO31" s="485">
        <v>0</v>
      </c>
      <c r="BP31" s="486"/>
      <c r="BQ31" s="101"/>
      <c r="BR31" s="487"/>
      <c r="BS31" s="412"/>
      <c r="BT31" s="485">
        <f>BT36+BT41+BT51+BT61+BT46+BT56</f>
        <v>6805000</v>
      </c>
      <c r="BU31" s="486"/>
      <c r="BV31" s="101"/>
      <c r="BW31" s="398"/>
      <c r="BX31" s="411"/>
      <c r="BY31" s="411"/>
    </row>
    <row r="32" spans="1:77" ht="12.75" x14ac:dyDescent="0.2">
      <c r="A32" s="388"/>
      <c r="B32" s="388"/>
      <c r="D32" s="398" t="s">
        <v>455</v>
      </c>
      <c r="E32" s="404"/>
      <c r="F32" s="404"/>
      <c r="G32" s="101">
        <v>0</v>
      </c>
      <c r="H32" s="49"/>
      <c r="I32" s="101"/>
      <c r="J32" s="487"/>
      <c r="K32" s="487"/>
      <c r="L32" s="101">
        <v>0</v>
      </c>
      <c r="M32" s="49"/>
      <c r="N32" s="101"/>
      <c r="O32" s="487"/>
      <c r="P32" s="487"/>
      <c r="Q32" s="101">
        <v>0</v>
      </c>
      <c r="R32" s="49"/>
      <c r="S32" s="101"/>
      <c r="T32" s="46"/>
      <c r="U32" s="487"/>
      <c r="V32" s="101">
        <v>0</v>
      </c>
      <c r="W32" s="49"/>
      <c r="X32" s="101"/>
      <c r="Y32" s="487"/>
      <c r="Z32" s="487"/>
      <c r="AA32" s="101">
        <v>0</v>
      </c>
      <c r="AB32" s="49"/>
      <c r="AC32" s="101"/>
      <c r="AD32" s="487"/>
      <c r="AE32" s="487"/>
      <c r="AF32" s="101">
        <v>0</v>
      </c>
      <c r="AG32" s="49"/>
      <c r="AH32" s="101"/>
      <c r="AI32" s="487"/>
      <c r="AJ32" s="487"/>
      <c r="AK32" s="101">
        <v>0</v>
      </c>
      <c r="AL32" s="49"/>
      <c r="AM32" s="101"/>
      <c r="AN32" s="487"/>
      <c r="AO32" s="487"/>
      <c r="AP32" s="101">
        <v>0</v>
      </c>
      <c r="AQ32" s="49"/>
      <c r="AR32" s="101"/>
      <c r="AS32" s="487"/>
      <c r="AT32" s="487"/>
      <c r="AU32" s="101">
        <v>0</v>
      </c>
      <c r="AV32" s="49"/>
      <c r="AW32" s="101"/>
      <c r="AX32" s="487"/>
      <c r="AY32" s="487"/>
      <c r="AZ32" s="101">
        <v>0</v>
      </c>
      <c r="BA32" s="49"/>
      <c r="BB32" s="101"/>
      <c r="BC32" s="487"/>
      <c r="BD32" s="487"/>
      <c r="BE32" s="101">
        <v>0</v>
      </c>
      <c r="BF32" s="49"/>
      <c r="BG32" s="101"/>
      <c r="BH32" s="487"/>
      <c r="BI32" s="487"/>
      <c r="BJ32" s="101">
        <f>BJ37+BJ42+BJ52+BJ62+BJ47+BJ57</f>
        <v>0</v>
      </c>
      <c r="BK32" s="49"/>
      <c r="BL32" s="101"/>
      <c r="BM32" s="487"/>
      <c r="BN32" s="487"/>
      <c r="BO32" s="101">
        <v>0</v>
      </c>
      <c r="BP32" s="49"/>
      <c r="BQ32" s="101"/>
      <c r="BR32" s="487"/>
      <c r="BS32" s="404"/>
      <c r="BT32" s="101">
        <f>BT37+BT42+BT52+BT62+BT47+BT57</f>
        <v>0</v>
      </c>
      <c r="BU32" s="49"/>
      <c r="BV32" s="101"/>
      <c r="BW32" s="398"/>
      <c r="BX32" s="411"/>
      <c r="BY32" s="411"/>
    </row>
    <row r="33" spans="1:77" ht="12.75" x14ac:dyDescent="0.2">
      <c r="A33" s="388"/>
      <c r="B33" s="388"/>
      <c r="D33" s="398" t="s">
        <v>456</v>
      </c>
      <c r="E33" s="404"/>
      <c r="F33" s="427"/>
      <c r="G33" s="496">
        <v>0</v>
      </c>
      <c r="H33" s="90"/>
      <c r="I33" s="101"/>
      <c r="J33" s="487"/>
      <c r="K33" s="497"/>
      <c r="L33" s="496">
        <v>0</v>
      </c>
      <c r="M33" s="90"/>
      <c r="N33" s="101"/>
      <c r="O33" s="487"/>
      <c r="P33" s="497"/>
      <c r="Q33" s="496">
        <v>0</v>
      </c>
      <c r="R33" s="90"/>
      <c r="S33" s="101"/>
      <c r="T33" s="46"/>
      <c r="U33" s="497"/>
      <c r="V33" s="496">
        <v>0</v>
      </c>
      <c r="W33" s="90"/>
      <c r="X33" s="101"/>
      <c r="Y33" s="487"/>
      <c r="Z33" s="497"/>
      <c r="AA33" s="496">
        <v>0</v>
      </c>
      <c r="AB33" s="90"/>
      <c r="AC33" s="101"/>
      <c r="AD33" s="487"/>
      <c r="AE33" s="497"/>
      <c r="AF33" s="496">
        <v>0</v>
      </c>
      <c r="AG33" s="90"/>
      <c r="AH33" s="101"/>
      <c r="AI33" s="487"/>
      <c r="AJ33" s="497"/>
      <c r="AK33" s="496">
        <v>0</v>
      </c>
      <c r="AL33" s="90"/>
      <c r="AM33" s="101"/>
      <c r="AN33" s="487"/>
      <c r="AO33" s="497"/>
      <c r="AP33" s="496">
        <v>0</v>
      </c>
      <c r="AQ33" s="90"/>
      <c r="AR33" s="101"/>
      <c r="AS33" s="487"/>
      <c r="AT33" s="497"/>
      <c r="AU33" s="496">
        <v>0</v>
      </c>
      <c r="AV33" s="90"/>
      <c r="AW33" s="101"/>
      <c r="AX33" s="487"/>
      <c r="AY33" s="497"/>
      <c r="AZ33" s="496">
        <v>0</v>
      </c>
      <c r="BA33" s="90"/>
      <c r="BB33" s="101"/>
      <c r="BC33" s="487"/>
      <c r="BD33" s="497"/>
      <c r="BE33" s="496">
        <v>0</v>
      </c>
      <c r="BF33" s="90"/>
      <c r="BG33" s="101"/>
      <c r="BH33" s="487"/>
      <c r="BI33" s="497"/>
      <c r="BJ33" s="496">
        <f>BJ38+BJ43+BJ53+BJ63+BJ48+BJ58</f>
        <v>0</v>
      </c>
      <c r="BK33" s="90"/>
      <c r="BL33" s="101"/>
      <c r="BM33" s="487"/>
      <c r="BN33" s="497"/>
      <c r="BO33" s="496">
        <v>0</v>
      </c>
      <c r="BP33" s="90"/>
      <c r="BQ33" s="101"/>
      <c r="BR33" s="487"/>
      <c r="BS33" s="427"/>
      <c r="BT33" s="496">
        <f>BT38+BT43+BT53+BT63+BT48+BT58</f>
        <v>0</v>
      </c>
      <c r="BU33" s="90"/>
      <c r="BV33" s="101"/>
      <c r="BW33" s="398"/>
      <c r="BX33" s="411"/>
      <c r="BY33" s="411"/>
    </row>
    <row r="34" spans="1:77" ht="12.75" customHeight="1" x14ac:dyDescent="0.2">
      <c r="A34" s="388"/>
      <c r="B34" s="388"/>
      <c r="D34" s="398"/>
      <c r="E34" s="404"/>
      <c r="F34" s="388"/>
      <c r="G34" s="101"/>
      <c r="H34" s="101"/>
      <c r="I34" s="101"/>
      <c r="J34" s="487"/>
      <c r="K34" s="101"/>
      <c r="L34" s="101"/>
      <c r="M34" s="101"/>
      <c r="N34" s="101"/>
      <c r="O34" s="487"/>
      <c r="P34" s="101"/>
      <c r="Q34" s="101"/>
      <c r="R34" s="101"/>
      <c r="S34" s="101"/>
      <c r="T34" s="487"/>
      <c r="U34" s="101"/>
      <c r="V34" s="101"/>
      <c r="W34" s="101"/>
      <c r="X34" s="101"/>
      <c r="Y34" s="487"/>
      <c r="Z34" s="101"/>
      <c r="AA34" s="101"/>
      <c r="AB34" s="101"/>
      <c r="AC34" s="101"/>
      <c r="AD34" s="487"/>
      <c r="AE34" s="101"/>
      <c r="AF34" s="101"/>
      <c r="AG34" s="101"/>
      <c r="AH34" s="101"/>
      <c r="AI34" s="487"/>
      <c r="AJ34" s="101"/>
      <c r="AK34" s="101"/>
      <c r="AL34" s="101"/>
      <c r="AM34" s="101"/>
      <c r="AN34" s="487"/>
      <c r="AO34" s="101"/>
      <c r="AP34" s="101"/>
      <c r="AQ34" s="101"/>
      <c r="AR34" s="101"/>
      <c r="AS34" s="487"/>
      <c r="AT34" s="101"/>
      <c r="AU34" s="101"/>
      <c r="AV34" s="101"/>
      <c r="AW34" s="101"/>
      <c r="AX34" s="487"/>
      <c r="AY34" s="101"/>
      <c r="AZ34" s="101"/>
      <c r="BA34" s="101"/>
      <c r="BB34" s="101"/>
      <c r="BC34" s="487"/>
      <c r="BD34" s="101"/>
      <c r="BE34" s="101"/>
      <c r="BF34" s="101"/>
      <c r="BG34" s="101"/>
      <c r="BH34" s="487"/>
      <c r="BI34" s="101"/>
      <c r="BJ34" s="101"/>
      <c r="BK34" s="101"/>
      <c r="BL34" s="101"/>
      <c r="BM34" s="487"/>
      <c r="BN34" s="101"/>
      <c r="BO34" s="101"/>
      <c r="BP34" s="101"/>
      <c r="BQ34" s="101"/>
      <c r="BR34" s="487"/>
      <c r="BS34" s="101"/>
      <c r="BT34" s="101"/>
      <c r="BU34" s="101"/>
      <c r="BV34" s="101"/>
      <c r="BW34" s="398"/>
      <c r="BX34" s="411"/>
      <c r="BY34" s="411"/>
    </row>
    <row r="35" spans="1:77" ht="12.75" hidden="1" customHeight="1" x14ac:dyDescent="0.2">
      <c r="A35" s="388"/>
      <c r="B35" s="388"/>
      <c r="D35" s="398" t="s">
        <v>457</v>
      </c>
      <c r="E35" s="404"/>
      <c r="F35" s="388"/>
      <c r="G35" s="101">
        <v>0</v>
      </c>
      <c r="H35" s="101"/>
      <c r="I35" s="101"/>
      <c r="J35" s="487"/>
      <c r="K35" s="388"/>
      <c r="L35" s="101">
        <f>SUM(L36:L38)</f>
        <v>0</v>
      </c>
      <c r="M35" s="101"/>
      <c r="N35" s="101"/>
      <c r="O35" s="487"/>
      <c r="P35" s="388"/>
      <c r="Q35" s="101">
        <f>SUM(Q36:Q38)</f>
        <v>0</v>
      </c>
      <c r="R35" s="101"/>
      <c r="S35" s="101"/>
      <c r="T35" s="487"/>
      <c r="U35" s="388"/>
      <c r="V35" s="101">
        <f>SUM(V36:V38)</f>
        <v>0</v>
      </c>
      <c r="W35" s="101"/>
      <c r="X35" s="101"/>
      <c r="Y35" s="487"/>
      <c r="Z35" s="388"/>
      <c r="AA35" s="101">
        <f>SUM(AA36:AA38)</f>
        <v>0</v>
      </c>
      <c r="AB35" s="101"/>
      <c r="AC35" s="101"/>
      <c r="AD35" s="487"/>
      <c r="AE35" s="388"/>
      <c r="AF35" s="101">
        <f>SUM(AF36:AF38)</f>
        <v>0</v>
      </c>
      <c r="AG35" s="101"/>
      <c r="AH35" s="101"/>
      <c r="AI35" s="487"/>
      <c r="AJ35" s="388"/>
      <c r="AK35" s="101">
        <f>SUM(AK36:AK38)</f>
        <v>0</v>
      </c>
      <c r="AL35" s="101"/>
      <c r="AM35" s="101"/>
      <c r="AN35" s="487"/>
      <c r="AO35" s="388"/>
      <c r="AP35" s="101">
        <f>SUM(AP36:AP38)</f>
        <v>0</v>
      </c>
      <c r="AQ35" s="101"/>
      <c r="AR35" s="101"/>
      <c r="AS35" s="487"/>
      <c r="AT35" s="388"/>
      <c r="AU35" s="101">
        <f>SUM(AU36:AU38)</f>
        <v>0</v>
      </c>
      <c r="AV35" s="101"/>
      <c r="AW35" s="101"/>
      <c r="AX35" s="487"/>
      <c r="AY35" s="388"/>
      <c r="AZ35" s="101">
        <f>SUM(AZ36:AZ38)</f>
        <v>0</v>
      </c>
      <c r="BA35" s="101"/>
      <c r="BB35" s="101"/>
      <c r="BC35" s="487"/>
      <c r="BD35" s="388"/>
      <c r="BE35" s="101">
        <f>SUM(BE36:BE38)</f>
        <v>0</v>
      </c>
      <c r="BF35" s="101"/>
      <c r="BG35" s="101"/>
      <c r="BH35" s="487"/>
      <c r="BI35" s="388"/>
      <c r="BJ35" s="101">
        <f>SUM(BJ36:BJ38)</f>
        <v>0</v>
      </c>
      <c r="BK35" s="101"/>
      <c r="BL35" s="101"/>
      <c r="BM35" s="487"/>
      <c r="BN35" s="388"/>
      <c r="BO35" s="101">
        <f>SUM(BO36:BO38)</f>
        <v>0</v>
      </c>
      <c r="BP35" s="101"/>
      <c r="BQ35" s="101"/>
      <c r="BR35" s="487"/>
      <c r="BS35" s="388"/>
      <c r="BT35" s="496">
        <f>SUM(BT36:BT38)</f>
        <v>0</v>
      </c>
      <c r="BU35" s="101"/>
      <c r="BV35" s="101"/>
      <c r="BW35" s="398"/>
      <c r="BX35" s="411"/>
      <c r="BY35" s="411"/>
    </row>
    <row r="36" spans="1:77" ht="12.75" hidden="1" customHeight="1" x14ac:dyDescent="0.2">
      <c r="A36" s="388"/>
      <c r="B36" s="388"/>
      <c r="D36" s="398" t="s">
        <v>373</v>
      </c>
      <c r="E36" s="404"/>
      <c r="F36" s="412"/>
      <c r="G36" s="485">
        <v>0</v>
      </c>
      <c r="H36" s="486"/>
      <c r="I36" s="101"/>
      <c r="J36" s="487"/>
      <c r="K36" s="412"/>
      <c r="L36" s="485">
        <v>0</v>
      </c>
      <c r="M36" s="486"/>
      <c r="N36" s="101"/>
      <c r="O36" s="487"/>
      <c r="P36" s="412"/>
      <c r="Q36" s="485">
        <v>0</v>
      </c>
      <c r="R36" s="486"/>
      <c r="S36" s="101"/>
      <c r="T36" s="487"/>
      <c r="U36" s="412"/>
      <c r="V36" s="485">
        <v>0</v>
      </c>
      <c r="W36" s="486"/>
      <c r="X36" s="101"/>
      <c r="Y36" s="487"/>
      <c r="Z36" s="412"/>
      <c r="AA36" s="485">
        <v>0</v>
      </c>
      <c r="AB36" s="486"/>
      <c r="AC36" s="101"/>
      <c r="AD36" s="487"/>
      <c r="AE36" s="412"/>
      <c r="AF36" s="485">
        <v>0</v>
      </c>
      <c r="AG36" s="486"/>
      <c r="AH36" s="101"/>
      <c r="AI36" s="487"/>
      <c r="AJ36" s="412"/>
      <c r="AK36" s="485">
        <v>0</v>
      </c>
      <c r="AL36" s="486"/>
      <c r="AM36" s="101"/>
      <c r="AN36" s="487"/>
      <c r="AO36" s="412"/>
      <c r="AP36" s="485">
        <v>0</v>
      </c>
      <c r="AQ36" s="486"/>
      <c r="AR36" s="101"/>
      <c r="AS36" s="487"/>
      <c r="AT36" s="412"/>
      <c r="AU36" s="485">
        <v>0</v>
      </c>
      <c r="AV36" s="486"/>
      <c r="AW36" s="101"/>
      <c r="AX36" s="487"/>
      <c r="AY36" s="412"/>
      <c r="AZ36" s="485">
        <v>0</v>
      </c>
      <c r="BA36" s="486"/>
      <c r="BB36" s="101"/>
      <c r="BC36" s="487"/>
      <c r="BD36" s="412"/>
      <c r="BE36" s="485">
        <v>0</v>
      </c>
      <c r="BF36" s="486"/>
      <c r="BG36" s="101"/>
      <c r="BH36" s="487"/>
      <c r="BI36" s="412"/>
      <c r="BJ36" s="485">
        <v>0</v>
      </c>
      <c r="BK36" s="486"/>
      <c r="BL36" s="101"/>
      <c r="BM36" s="487"/>
      <c r="BN36" s="412"/>
      <c r="BO36" s="485">
        <v>0</v>
      </c>
      <c r="BP36" s="486"/>
      <c r="BQ36" s="101"/>
      <c r="BR36" s="487"/>
      <c r="BS36" s="412"/>
      <c r="BT36" s="101">
        <f>SUM(L36:BO36)</f>
        <v>0</v>
      </c>
      <c r="BU36" s="486"/>
      <c r="BV36" s="101"/>
      <c r="BW36" s="398"/>
      <c r="BX36" s="411"/>
      <c r="BY36" s="411"/>
    </row>
    <row r="37" spans="1:77" ht="12.75" hidden="1" customHeight="1" x14ac:dyDescent="0.2">
      <c r="A37" s="388"/>
      <c r="B37" s="388"/>
      <c r="D37" s="398" t="s">
        <v>455</v>
      </c>
      <c r="E37" s="404"/>
      <c r="F37" s="404"/>
      <c r="G37" s="101">
        <v>0</v>
      </c>
      <c r="H37" s="49"/>
      <c r="I37" s="101"/>
      <c r="J37" s="487"/>
      <c r="K37" s="404"/>
      <c r="L37" s="101">
        <v>0</v>
      </c>
      <c r="M37" s="49"/>
      <c r="N37" s="101"/>
      <c r="O37" s="487"/>
      <c r="P37" s="404"/>
      <c r="Q37" s="101">
        <v>0</v>
      </c>
      <c r="R37" s="49"/>
      <c r="S37" s="101"/>
      <c r="T37" s="487"/>
      <c r="U37" s="404"/>
      <c r="V37" s="101">
        <v>0</v>
      </c>
      <c r="W37" s="49"/>
      <c r="X37" s="101"/>
      <c r="Y37" s="487"/>
      <c r="Z37" s="404"/>
      <c r="AA37" s="101">
        <v>0</v>
      </c>
      <c r="AB37" s="49"/>
      <c r="AC37" s="101"/>
      <c r="AD37" s="487"/>
      <c r="AE37" s="404"/>
      <c r="AF37" s="101">
        <v>0</v>
      </c>
      <c r="AG37" s="49"/>
      <c r="AH37" s="101"/>
      <c r="AI37" s="487"/>
      <c r="AJ37" s="404"/>
      <c r="AK37" s="101">
        <v>0</v>
      </c>
      <c r="AL37" s="49"/>
      <c r="AM37" s="101"/>
      <c r="AN37" s="487"/>
      <c r="AO37" s="404"/>
      <c r="AP37" s="101">
        <v>0</v>
      </c>
      <c r="AQ37" s="49"/>
      <c r="AR37" s="101"/>
      <c r="AS37" s="487"/>
      <c r="AT37" s="404"/>
      <c r="AU37" s="101">
        <v>0</v>
      </c>
      <c r="AV37" s="49"/>
      <c r="AW37" s="101"/>
      <c r="AX37" s="487"/>
      <c r="AY37" s="404"/>
      <c r="AZ37" s="101">
        <v>0</v>
      </c>
      <c r="BA37" s="49"/>
      <c r="BB37" s="101"/>
      <c r="BC37" s="487"/>
      <c r="BD37" s="404"/>
      <c r="BE37" s="101">
        <v>0</v>
      </c>
      <c r="BF37" s="49"/>
      <c r="BG37" s="101"/>
      <c r="BH37" s="487"/>
      <c r="BI37" s="404"/>
      <c r="BJ37" s="101">
        <v>0</v>
      </c>
      <c r="BK37" s="49"/>
      <c r="BL37" s="101"/>
      <c r="BM37" s="487"/>
      <c r="BN37" s="404"/>
      <c r="BO37" s="101">
        <v>0</v>
      </c>
      <c r="BP37" s="49"/>
      <c r="BQ37" s="101"/>
      <c r="BR37" s="487"/>
      <c r="BS37" s="404"/>
      <c r="BT37" s="101">
        <f>SUM(L37:BO37)</f>
        <v>0</v>
      </c>
      <c r="BU37" s="49"/>
      <c r="BV37" s="101"/>
      <c r="BW37" s="398"/>
      <c r="BX37" s="411"/>
      <c r="BY37" s="411"/>
    </row>
    <row r="38" spans="1:77" ht="12.75" hidden="1" customHeight="1" x14ac:dyDescent="0.2">
      <c r="A38" s="388"/>
      <c r="B38" s="388"/>
      <c r="D38" s="398" t="s">
        <v>456</v>
      </c>
      <c r="E38" s="404"/>
      <c r="F38" s="427"/>
      <c r="G38" s="496">
        <v>0</v>
      </c>
      <c r="H38" s="90"/>
      <c r="I38" s="101"/>
      <c r="J38" s="487"/>
      <c r="K38" s="427"/>
      <c r="L38" s="496">
        <v>0</v>
      </c>
      <c r="M38" s="90"/>
      <c r="N38" s="101"/>
      <c r="O38" s="487"/>
      <c r="P38" s="427"/>
      <c r="Q38" s="496">
        <v>0</v>
      </c>
      <c r="R38" s="90"/>
      <c r="S38" s="101"/>
      <c r="T38" s="487"/>
      <c r="U38" s="427"/>
      <c r="V38" s="496">
        <v>0</v>
      </c>
      <c r="W38" s="90"/>
      <c r="X38" s="101"/>
      <c r="Y38" s="487"/>
      <c r="Z38" s="427"/>
      <c r="AA38" s="496">
        <v>0</v>
      </c>
      <c r="AB38" s="90"/>
      <c r="AC38" s="101"/>
      <c r="AD38" s="487"/>
      <c r="AE38" s="427"/>
      <c r="AF38" s="496">
        <v>0</v>
      </c>
      <c r="AG38" s="90"/>
      <c r="AH38" s="101"/>
      <c r="AI38" s="487"/>
      <c r="AJ38" s="427"/>
      <c r="AK38" s="496">
        <v>0</v>
      </c>
      <c r="AL38" s="90"/>
      <c r="AM38" s="101"/>
      <c r="AN38" s="487"/>
      <c r="AO38" s="427"/>
      <c r="AP38" s="496">
        <v>0</v>
      </c>
      <c r="AQ38" s="90"/>
      <c r="AR38" s="101"/>
      <c r="AS38" s="487"/>
      <c r="AT38" s="427"/>
      <c r="AU38" s="496">
        <v>0</v>
      </c>
      <c r="AV38" s="90"/>
      <c r="AW38" s="101"/>
      <c r="AX38" s="487"/>
      <c r="AY38" s="427"/>
      <c r="AZ38" s="496">
        <v>0</v>
      </c>
      <c r="BA38" s="90"/>
      <c r="BB38" s="101"/>
      <c r="BC38" s="487"/>
      <c r="BD38" s="427"/>
      <c r="BE38" s="496">
        <v>0</v>
      </c>
      <c r="BF38" s="90"/>
      <c r="BG38" s="101"/>
      <c r="BH38" s="487"/>
      <c r="BI38" s="427"/>
      <c r="BJ38" s="496">
        <v>0</v>
      </c>
      <c r="BK38" s="90"/>
      <c r="BL38" s="101"/>
      <c r="BM38" s="487"/>
      <c r="BN38" s="427"/>
      <c r="BO38" s="496">
        <v>0</v>
      </c>
      <c r="BP38" s="90"/>
      <c r="BQ38" s="101"/>
      <c r="BR38" s="487"/>
      <c r="BS38" s="427"/>
      <c r="BT38" s="496">
        <f>SUM(L38:BO38)</f>
        <v>0</v>
      </c>
      <c r="BU38" s="90"/>
      <c r="BV38" s="101"/>
      <c r="BW38" s="398"/>
      <c r="BX38" s="411"/>
      <c r="BY38" s="411"/>
    </row>
    <row r="39" spans="1:77" ht="12.75" hidden="1" x14ac:dyDescent="0.2">
      <c r="A39" s="388"/>
      <c r="B39" s="388"/>
      <c r="D39" s="398"/>
      <c r="E39" s="404"/>
      <c r="F39" s="388"/>
      <c r="G39" s="101"/>
      <c r="H39" s="101"/>
      <c r="I39" s="101"/>
      <c r="J39" s="487"/>
      <c r="K39" s="101"/>
      <c r="L39" s="101"/>
      <c r="M39" s="101"/>
      <c r="N39" s="101"/>
      <c r="O39" s="487"/>
      <c r="P39" s="101"/>
      <c r="Q39" s="101"/>
      <c r="R39" s="101"/>
      <c r="S39" s="101"/>
      <c r="T39" s="487"/>
      <c r="U39" s="101"/>
      <c r="V39" s="101"/>
      <c r="W39" s="101"/>
      <c r="X39" s="101"/>
      <c r="Y39" s="487"/>
      <c r="Z39" s="101"/>
      <c r="AA39" s="101"/>
      <c r="AB39" s="101"/>
      <c r="AC39" s="101"/>
      <c r="AD39" s="487"/>
      <c r="AE39" s="101"/>
      <c r="AF39" s="101"/>
      <c r="AG39" s="101"/>
      <c r="AH39" s="101"/>
      <c r="AI39" s="487"/>
      <c r="AJ39" s="101"/>
      <c r="AK39" s="101"/>
      <c r="AL39" s="101"/>
      <c r="AM39" s="101"/>
      <c r="AN39" s="487"/>
      <c r="AO39" s="101"/>
      <c r="AP39" s="101"/>
      <c r="AQ39" s="101"/>
      <c r="AR39" s="101"/>
      <c r="AS39" s="487"/>
      <c r="AT39" s="101"/>
      <c r="AU39" s="101"/>
      <c r="AV39" s="101"/>
      <c r="AW39" s="101"/>
      <c r="AX39" s="487"/>
      <c r="AY39" s="101"/>
      <c r="AZ39" s="101"/>
      <c r="BA39" s="101"/>
      <c r="BB39" s="101"/>
      <c r="BC39" s="487"/>
      <c r="BD39" s="101"/>
      <c r="BE39" s="101"/>
      <c r="BF39" s="101"/>
      <c r="BG39" s="101"/>
      <c r="BH39" s="487"/>
      <c r="BI39" s="101"/>
      <c r="BJ39" s="101"/>
      <c r="BK39" s="101"/>
      <c r="BL39" s="101"/>
      <c r="BM39" s="487"/>
      <c r="BN39" s="101"/>
      <c r="BO39" s="101"/>
      <c r="BP39" s="101"/>
      <c r="BQ39" s="101"/>
      <c r="BR39" s="487"/>
      <c r="BS39" s="101"/>
      <c r="BT39" s="101"/>
      <c r="BU39" s="101"/>
      <c r="BV39" s="101"/>
      <c r="BW39" s="398"/>
      <c r="BX39" s="411"/>
      <c r="BY39" s="411"/>
    </row>
    <row r="40" spans="1:77" ht="12.75" hidden="1" x14ac:dyDescent="0.2">
      <c r="A40" s="388"/>
      <c r="B40" s="388"/>
      <c r="D40" s="398" t="s">
        <v>458</v>
      </c>
      <c r="E40" s="404"/>
      <c r="F40" s="388"/>
      <c r="G40" s="101">
        <v>0</v>
      </c>
      <c r="H40" s="101"/>
      <c r="I40" s="101"/>
      <c r="J40" s="487"/>
      <c r="K40" s="388"/>
      <c r="L40" s="101">
        <f>SUM(L41:L43)</f>
        <v>0</v>
      </c>
      <c r="M40" s="101"/>
      <c r="N40" s="101"/>
      <c r="O40" s="487"/>
      <c r="P40" s="388"/>
      <c r="Q40" s="101">
        <f>SUM(Q41:Q43)</f>
        <v>0</v>
      </c>
      <c r="R40" s="101"/>
      <c r="S40" s="101"/>
      <c r="T40" s="487"/>
      <c r="U40" s="388"/>
      <c r="V40" s="101">
        <f>SUM(V41:V43)</f>
        <v>0</v>
      </c>
      <c r="W40" s="101"/>
      <c r="X40" s="101"/>
      <c r="Y40" s="487"/>
      <c r="Z40" s="388"/>
      <c r="AA40" s="101">
        <f>SUM(AA41:AA43)</f>
        <v>0</v>
      </c>
      <c r="AB40" s="101"/>
      <c r="AC40" s="101"/>
      <c r="AD40" s="487"/>
      <c r="AE40" s="388"/>
      <c r="AF40" s="101">
        <f>SUM(AF41:AF43)</f>
        <v>0</v>
      </c>
      <c r="AG40" s="101"/>
      <c r="AH40" s="101"/>
      <c r="AI40" s="487"/>
      <c r="AJ40" s="388"/>
      <c r="AK40" s="101">
        <f>SUM(AK41:AK43)</f>
        <v>0</v>
      </c>
      <c r="AL40" s="101"/>
      <c r="AM40" s="101"/>
      <c r="AN40" s="487"/>
      <c r="AO40" s="388"/>
      <c r="AP40" s="101">
        <f>SUM(AP41:AP43)</f>
        <v>0</v>
      </c>
      <c r="AQ40" s="101"/>
      <c r="AR40" s="101"/>
      <c r="AS40" s="487"/>
      <c r="AT40" s="388"/>
      <c r="AU40" s="101">
        <f>SUM(AU41:AU43)</f>
        <v>0</v>
      </c>
      <c r="AV40" s="101"/>
      <c r="AW40" s="101"/>
      <c r="AX40" s="487"/>
      <c r="AY40" s="388"/>
      <c r="AZ40" s="101">
        <f>SUM(AZ41:AZ43)</f>
        <v>0</v>
      </c>
      <c r="BA40" s="101"/>
      <c r="BB40" s="101"/>
      <c r="BC40" s="487"/>
      <c r="BD40" s="388"/>
      <c r="BE40" s="101">
        <f>SUM(BE41:BE43)</f>
        <v>0</v>
      </c>
      <c r="BF40" s="101"/>
      <c r="BG40" s="101"/>
      <c r="BH40" s="487"/>
      <c r="BI40" s="388"/>
      <c r="BJ40" s="101">
        <f>SUM(BJ41:BJ43)</f>
        <v>0</v>
      </c>
      <c r="BK40" s="101"/>
      <c r="BL40" s="101"/>
      <c r="BM40" s="487"/>
      <c r="BN40" s="388"/>
      <c r="BO40" s="101">
        <f>SUM(BO41:BO43)</f>
        <v>0</v>
      </c>
      <c r="BP40" s="101"/>
      <c r="BQ40" s="101"/>
      <c r="BR40" s="487"/>
      <c r="BS40" s="388"/>
      <c r="BT40" s="101">
        <f>SUM(BT41:BT43)</f>
        <v>0</v>
      </c>
      <c r="BU40" s="101"/>
      <c r="BV40" s="101"/>
      <c r="BW40" s="398"/>
      <c r="BX40" s="411"/>
      <c r="BY40" s="411"/>
    </row>
    <row r="41" spans="1:77" ht="12.75" hidden="1" x14ac:dyDescent="0.2">
      <c r="A41" s="388"/>
      <c r="B41" s="388"/>
      <c r="D41" s="398" t="s">
        <v>373</v>
      </c>
      <c r="E41" s="404"/>
      <c r="F41" s="412"/>
      <c r="G41" s="485">
        <v>0</v>
      </c>
      <c r="H41" s="486"/>
      <c r="I41" s="101"/>
      <c r="J41" s="487"/>
      <c r="K41" s="412"/>
      <c r="L41" s="485">
        <v>0</v>
      </c>
      <c r="M41" s="486"/>
      <c r="N41" s="101"/>
      <c r="O41" s="487"/>
      <c r="P41" s="412"/>
      <c r="Q41" s="485">
        <v>0</v>
      </c>
      <c r="R41" s="486"/>
      <c r="S41" s="101"/>
      <c r="T41" s="487"/>
      <c r="U41" s="412"/>
      <c r="V41" s="485">
        <v>0</v>
      </c>
      <c r="W41" s="486"/>
      <c r="X41" s="101"/>
      <c r="Y41" s="487"/>
      <c r="Z41" s="412"/>
      <c r="AA41" s="485">
        <v>0</v>
      </c>
      <c r="AB41" s="486"/>
      <c r="AC41" s="101"/>
      <c r="AD41" s="487"/>
      <c r="AE41" s="412"/>
      <c r="AF41" s="485">
        <v>0</v>
      </c>
      <c r="AG41" s="486"/>
      <c r="AH41" s="101"/>
      <c r="AI41" s="487"/>
      <c r="AJ41" s="412"/>
      <c r="AK41" s="485">
        <v>0</v>
      </c>
      <c r="AL41" s="486"/>
      <c r="AM41" s="101"/>
      <c r="AN41" s="487"/>
      <c r="AO41" s="412"/>
      <c r="AP41" s="485">
        <v>0</v>
      </c>
      <c r="AQ41" s="486"/>
      <c r="AR41" s="101"/>
      <c r="AS41" s="487"/>
      <c r="AT41" s="412"/>
      <c r="AU41" s="485">
        <v>0</v>
      </c>
      <c r="AV41" s="486"/>
      <c r="AW41" s="101"/>
      <c r="AX41" s="487"/>
      <c r="AY41" s="412"/>
      <c r="AZ41" s="485">
        <v>0</v>
      </c>
      <c r="BA41" s="486"/>
      <c r="BB41" s="101"/>
      <c r="BC41" s="487"/>
      <c r="BD41" s="412"/>
      <c r="BE41" s="485">
        <v>0</v>
      </c>
      <c r="BF41" s="486"/>
      <c r="BG41" s="101"/>
      <c r="BH41" s="487"/>
      <c r="BI41" s="412"/>
      <c r="BJ41" s="485">
        <v>0</v>
      </c>
      <c r="BK41" s="486"/>
      <c r="BL41" s="101"/>
      <c r="BM41" s="487"/>
      <c r="BN41" s="412"/>
      <c r="BO41" s="485">
        <v>0</v>
      </c>
      <c r="BP41" s="486"/>
      <c r="BQ41" s="101"/>
      <c r="BR41" s="487"/>
      <c r="BS41" s="412"/>
      <c r="BT41" s="485">
        <f>SUM(L41:BO41)</f>
        <v>0</v>
      </c>
      <c r="BU41" s="486"/>
      <c r="BV41" s="101"/>
      <c r="BW41" s="398"/>
      <c r="BX41" s="411"/>
      <c r="BY41" s="411"/>
    </row>
    <row r="42" spans="1:77" ht="12.75" hidden="1" x14ac:dyDescent="0.2">
      <c r="A42" s="388"/>
      <c r="B42" s="388"/>
      <c r="D42" s="398" t="s">
        <v>455</v>
      </c>
      <c r="E42" s="404"/>
      <c r="F42" s="404"/>
      <c r="G42" s="101">
        <v>0</v>
      </c>
      <c r="H42" s="49"/>
      <c r="I42" s="101"/>
      <c r="J42" s="487"/>
      <c r="K42" s="404"/>
      <c r="L42" s="101">
        <v>0</v>
      </c>
      <c r="M42" s="49"/>
      <c r="N42" s="101"/>
      <c r="O42" s="487"/>
      <c r="P42" s="404"/>
      <c r="Q42" s="101">
        <v>0</v>
      </c>
      <c r="R42" s="49"/>
      <c r="S42" s="101"/>
      <c r="T42" s="487"/>
      <c r="U42" s="404"/>
      <c r="V42" s="101">
        <v>0</v>
      </c>
      <c r="W42" s="49"/>
      <c r="X42" s="101"/>
      <c r="Y42" s="487"/>
      <c r="Z42" s="404"/>
      <c r="AA42" s="101">
        <v>0</v>
      </c>
      <c r="AB42" s="49"/>
      <c r="AC42" s="101"/>
      <c r="AD42" s="487"/>
      <c r="AE42" s="404"/>
      <c r="AF42" s="101">
        <v>0</v>
      </c>
      <c r="AG42" s="49"/>
      <c r="AH42" s="101"/>
      <c r="AI42" s="487"/>
      <c r="AJ42" s="404"/>
      <c r="AK42" s="101">
        <v>0</v>
      </c>
      <c r="AL42" s="49"/>
      <c r="AM42" s="101"/>
      <c r="AN42" s="487"/>
      <c r="AO42" s="404"/>
      <c r="AP42" s="101">
        <v>0</v>
      </c>
      <c r="AQ42" s="49"/>
      <c r="AR42" s="101"/>
      <c r="AS42" s="487"/>
      <c r="AT42" s="404"/>
      <c r="AU42" s="101">
        <v>0</v>
      </c>
      <c r="AV42" s="49"/>
      <c r="AW42" s="101"/>
      <c r="AX42" s="487"/>
      <c r="AY42" s="404"/>
      <c r="AZ42" s="101">
        <v>0</v>
      </c>
      <c r="BA42" s="49"/>
      <c r="BB42" s="101"/>
      <c r="BC42" s="487"/>
      <c r="BD42" s="404"/>
      <c r="BE42" s="101">
        <v>0</v>
      </c>
      <c r="BF42" s="49"/>
      <c r="BG42" s="101"/>
      <c r="BH42" s="487"/>
      <c r="BI42" s="404"/>
      <c r="BJ42" s="101">
        <v>0</v>
      </c>
      <c r="BK42" s="49"/>
      <c r="BL42" s="101"/>
      <c r="BM42" s="487"/>
      <c r="BN42" s="404"/>
      <c r="BO42" s="101">
        <v>0</v>
      </c>
      <c r="BP42" s="49"/>
      <c r="BQ42" s="101"/>
      <c r="BR42" s="487"/>
      <c r="BS42" s="404"/>
      <c r="BT42" s="101">
        <f>SUM(L42:BO42)</f>
        <v>0</v>
      </c>
      <c r="BU42" s="49"/>
      <c r="BV42" s="101"/>
      <c r="BW42" s="398"/>
      <c r="BX42" s="411"/>
      <c r="BY42" s="411"/>
    </row>
    <row r="43" spans="1:77" ht="12.75" hidden="1" x14ac:dyDescent="0.2">
      <c r="A43" s="388"/>
      <c r="B43" s="388"/>
      <c r="D43" s="398" t="s">
        <v>456</v>
      </c>
      <c r="E43" s="404"/>
      <c r="F43" s="427"/>
      <c r="G43" s="496">
        <v>0</v>
      </c>
      <c r="H43" s="90"/>
      <c r="I43" s="101"/>
      <c r="J43" s="487"/>
      <c r="K43" s="427"/>
      <c r="L43" s="496">
        <v>0</v>
      </c>
      <c r="M43" s="90"/>
      <c r="N43" s="101"/>
      <c r="O43" s="487"/>
      <c r="P43" s="427"/>
      <c r="Q43" s="496">
        <v>0</v>
      </c>
      <c r="R43" s="90"/>
      <c r="S43" s="101"/>
      <c r="T43" s="487"/>
      <c r="U43" s="427"/>
      <c r="V43" s="496">
        <v>0</v>
      </c>
      <c r="W43" s="90"/>
      <c r="X43" s="101"/>
      <c r="Y43" s="487"/>
      <c r="Z43" s="427"/>
      <c r="AA43" s="496">
        <v>0</v>
      </c>
      <c r="AB43" s="90"/>
      <c r="AC43" s="101"/>
      <c r="AD43" s="487"/>
      <c r="AE43" s="427"/>
      <c r="AF43" s="496">
        <v>0</v>
      </c>
      <c r="AG43" s="90"/>
      <c r="AH43" s="101"/>
      <c r="AI43" s="487"/>
      <c r="AJ43" s="427"/>
      <c r="AK43" s="496">
        <v>0</v>
      </c>
      <c r="AL43" s="90"/>
      <c r="AM43" s="101"/>
      <c r="AN43" s="487"/>
      <c r="AO43" s="427"/>
      <c r="AP43" s="496">
        <v>0</v>
      </c>
      <c r="AQ43" s="90"/>
      <c r="AR43" s="101"/>
      <c r="AS43" s="487"/>
      <c r="AT43" s="427"/>
      <c r="AU43" s="496">
        <v>0</v>
      </c>
      <c r="AV43" s="90"/>
      <c r="AW43" s="101"/>
      <c r="AX43" s="487"/>
      <c r="AY43" s="427"/>
      <c r="AZ43" s="496">
        <v>0</v>
      </c>
      <c r="BA43" s="90"/>
      <c r="BB43" s="101"/>
      <c r="BC43" s="487"/>
      <c r="BD43" s="427"/>
      <c r="BE43" s="496">
        <v>0</v>
      </c>
      <c r="BF43" s="90"/>
      <c r="BG43" s="101"/>
      <c r="BH43" s="487"/>
      <c r="BI43" s="427"/>
      <c r="BJ43" s="496">
        <v>0</v>
      </c>
      <c r="BK43" s="90"/>
      <c r="BL43" s="101"/>
      <c r="BM43" s="487"/>
      <c r="BN43" s="427"/>
      <c r="BO43" s="496">
        <v>0</v>
      </c>
      <c r="BP43" s="90"/>
      <c r="BQ43" s="101"/>
      <c r="BR43" s="487"/>
      <c r="BS43" s="427"/>
      <c r="BT43" s="496">
        <f>SUM(L43:BO43)</f>
        <v>0</v>
      </c>
      <c r="BU43" s="90"/>
      <c r="BV43" s="101"/>
      <c r="BW43" s="398"/>
      <c r="BX43" s="411"/>
      <c r="BY43" s="411"/>
    </row>
    <row r="44" spans="1:77" ht="12.75" hidden="1" customHeight="1" x14ac:dyDescent="0.2">
      <c r="A44" s="388"/>
      <c r="B44" s="388"/>
      <c r="D44" s="398"/>
      <c r="E44" s="404"/>
      <c r="F44" s="388"/>
      <c r="G44" s="101"/>
      <c r="H44" s="101"/>
      <c r="I44" s="101"/>
      <c r="J44" s="487"/>
      <c r="K44" s="101"/>
      <c r="L44" s="101"/>
      <c r="M44" s="101"/>
      <c r="N44" s="101"/>
      <c r="O44" s="487"/>
      <c r="P44" s="101"/>
      <c r="Q44" s="101"/>
      <c r="R44" s="101"/>
      <c r="S44" s="101"/>
      <c r="T44" s="487"/>
      <c r="U44" s="101"/>
      <c r="V44" s="101"/>
      <c r="W44" s="101"/>
      <c r="X44" s="101"/>
      <c r="Y44" s="487"/>
      <c r="Z44" s="101"/>
      <c r="AA44" s="101"/>
      <c r="AB44" s="101"/>
      <c r="AC44" s="101"/>
      <c r="AD44" s="487"/>
      <c r="AE44" s="101"/>
      <c r="AF44" s="101"/>
      <c r="AG44" s="101"/>
      <c r="AH44" s="101"/>
      <c r="AI44" s="487"/>
      <c r="AJ44" s="101"/>
      <c r="AK44" s="101"/>
      <c r="AL44" s="101"/>
      <c r="AM44" s="101"/>
      <c r="AN44" s="487"/>
      <c r="AO44" s="101"/>
      <c r="AP44" s="101"/>
      <c r="AQ44" s="101"/>
      <c r="AR44" s="101"/>
      <c r="AS44" s="487"/>
      <c r="AT44" s="101"/>
      <c r="AU44" s="101"/>
      <c r="AV44" s="101"/>
      <c r="AW44" s="101"/>
      <c r="AX44" s="487"/>
      <c r="AY44" s="101"/>
      <c r="AZ44" s="101"/>
      <c r="BA44" s="101"/>
      <c r="BB44" s="101"/>
      <c r="BC44" s="487"/>
      <c r="BD44" s="101"/>
      <c r="BE44" s="101"/>
      <c r="BF44" s="101"/>
      <c r="BG44" s="101"/>
      <c r="BH44" s="487"/>
      <c r="BI44" s="101"/>
      <c r="BJ44" s="101"/>
      <c r="BK44" s="101"/>
      <c r="BL44" s="101"/>
      <c r="BM44" s="487"/>
      <c r="BN44" s="101"/>
      <c r="BO44" s="101"/>
      <c r="BP44" s="101"/>
      <c r="BQ44" s="101"/>
      <c r="BR44" s="487"/>
      <c r="BS44" s="101"/>
      <c r="BT44" s="101"/>
      <c r="BU44" s="101"/>
      <c r="BV44" s="101"/>
      <c r="BW44" s="398"/>
      <c r="BX44" s="411"/>
      <c r="BY44" s="411"/>
    </row>
    <row r="45" spans="1:77" ht="12.75" hidden="1" customHeight="1" x14ac:dyDescent="0.2">
      <c r="A45" s="388"/>
      <c r="B45" s="388"/>
      <c r="D45" s="398" t="s">
        <v>394</v>
      </c>
      <c r="E45" s="404"/>
      <c r="F45" s="388"/>
      <c r="G45" s="101">
        <f>SUM(G46:G48)</f>
        <v>0</v>
      </c>
      <c r="H45" s="101"/>
      <c r="I45" s="101"/>
      <c r="J45" s="487"/>
      <c r="K45" s="101"/>
      <c r="L45" s="101">
        <f>SUM(L46:L48)</f>
        <v>0</v>
      </c>
      <c r="M45" s="101"/>
      <c r="N45" s="101"/>
      <c r="O45" s="487"/>
      <c r="P45" s="388"/>
      <c r="Q45" s="101">
        <f>SUM(Q46:Q48)</f>
        <v>0</v>
      </c>
      <c r="R45" s="101"/>
      <c r="S45" s="101"/>
      <c r="T45" s="487"/>
      <c r="U45" s="388"/>
      <c r="V45" s="101">
        <f>SUM(V46:V48)</f>
        <v>0</v>
      </c>
      <c r="W45" s="101"/>
      <c r="X45" s="101"/>
      <c r="Y45" s="487"/>
      <c r="Z45" s="388"/>
      <c r="AA45" s="101">
        <f>SUM(AA46:AA48)</f>
        <v>0</v>
      </c>
      <c r="AB45" s="101"/>
      <c r="AC45" s="101"/>
      <c r="AD45" s="487"/>
      <c r="AE45" s="388"/>
      <c r="AF45" s="101">
        <f>SUM(AF46:AF48)</f>
        <v>0</v>
      </c>
      <c r="AG45" s="101"/>
      <c r="AH45" s="101"/>
      <c r="AI45" s="487"/>
      <c r="AJ45" s="388"/>
      <c r="AK45" s="101">
        <f>SUM(AK46:AK48)</f>
        <v>0</v>
      </c>
      <c r="AL45" s="101"/>
      <c r="AM45" s="101"/>
      <c r="AN45" s="487"/>
      <c r="AO45" s="388"/>
      <c r="AP45" s="101">
        <f>SUM(AP46:AP48)</f>
        <v>0</v>
      </c>
      <c r="AQ45" s="101"/>
      <c r="AR45" s="101"/>
      <c r="AS45" s="487"/>
      <c r="AT45" s="388"/>
      <c r="AU45" s="101">
        <f>SUM(AU46:AU48)</f>
        <v>0</v>
      </c>
      <c r="AV45" s="101"/>
      <c r="AW45" s="101"/>
      <c r="AX45" s="487"/>
      <c r="AY45" s="388"/>
      <c r="AZ45" s="101">
        <f>SUM(AZ46:AZ48)</f>
        <v>0</v>
      </c>
      <c r="BA45" s="101"/>
      <c r="BB45" s="101"/>
      <c r="BC45" s="487"/>
      <c r="BD45" s="388"/>
      <c r="BE45" s="101">
        <f>SUM(BE46:BE48)</f>
        <v>0</v>
      </c>
      <c r="BF45" s="101"/>
      <c r="BG45" s="101"/>
      <c r="BH45" s="487"/>
      <c r="BI45" s="388"/>
      <c r="BJ45" s="101">
        <f>SUM(BJ46:BJ48)</f>
        <v>0</v>
      </c>
      <c r="BK45" s="101"/>
      <c r="BL45" s="101"/>
      <c r="BM45" s="487"/>
      <c r="BN45" s="388"/>
      <c r="BO45" s="101">
        <f>SUM(BO46:BO48)</f>
        <v>0</v>
      </c>
      <c r="BP45" s="101"/>
      <c r="BQ45" s="101"/>
      <c r="BR45" s="487"/>
      <c r="BS45" s="101"/>
      <c r="BT45" s="101">
        <f>SUM(BT46:BT48)</f>
        <v>0</v>
      </c>
      <c r="BU45" s="101"/>
      <c r="BV45" s="101"/>
      <c r="BW45" s="398"/>
      <c r="BX45" s="411"/>
      <c r="BY45" s="411"/>
    </row>
    <row r="46" spans="1:77" ht="12.75" hidden="1" customHeight="1" x14ac:dyDescent="0.2">
      <c r="A46" s="388"/>
      <c r="B46" s="388"/>
      <c r="D46" s="398" t="s">
        <v>373</v>
      </c>
      <c r="E46" s="404"/>
      <c r="F46" s="412"/>
      <c r="G46" s="485">
        <v>0</v>
      </c>
      <c r="H46" s="486"/>
      <c r="I46" s="101"/>
      <c r="J46" s="487"/>
      <c r="K46" s="488"/>
      <c r="L46" s="485">
        <v>0</v>
      </c>
      <c r="M46" s="486"/>
      <c r="N46" s="101"/>
      <c r="O46" s="487"/>
      <c r="P46" s="412"/>
      <c r="Q46" s="485">
        <v>0</v>
      </c>
      <c r="R46" s="486"/>
      <c r="S46" s="101"/>
      <c r="T46" s="487"/>
      <c r="U46" s="412"/>
      <c r="V46" s="485">
        <v>0</v>
      </c>
      <c r="W46" s="486"/>
      <c r="X46" s="101"/>
      <c r="Y46" s="487"/>
      <c r="Z46" s="412"/>
      <c r="AA46" s="485">
        <v>0</v>
      </c>
      <c r="AB46" s="486"/>
      <c r="AC46" s="101"/>
      <c r="AD46" s="487"/>
      <c r="AE46" s="412"/>
      <c r="AF46" s="485">
        <v>0</v>
      </c>
      <c r="AG46" s="486"/>
      <c r="AH46" s="101"/>
      <c r="AI46" s="487"/>
      <c r="AJ46" s="412"/>
      <c r="AK46" s="485">
        <v>0</v>
      </c>
      <c r="AL46" s="486"/>
      <c r="AM46" s="101"/>
      <c r="AN46" s="487"/>
      <c r="AO46" s="412"/>
      <c r="AP46" s="485">
        <v>0</v>
      </c>
      <c r="AQ46" s="486"/>
      <c r="AR46" s="101"/>
      <c r="AS46" s="487"/>
      <c r="AT46" s="412"/>
      <c r="AU46" s="485">
        <v>0</v>
      </c>
      <c r="AV46" s="486"/>
      <c r="AW46" s="101"/>
      <c r="AX46" s="487"/>
      <c r="AY46" s="412"/>
      <c r="AZ46" s="485">
        <v>0</v>
      </c>
      <c r="BA46" s="486"/>
      <c r="BB46" s="101"/>
      <c r="BC46" s="487"/>
      <c r="BD46" s="412"/>
      <c r="BE46" s="485">
        <v>0</v>
      </c>
      <c r="BF46" s="486"/>
      <c r="BG46" s="101"/>
      <c r="BH46" s="487"/>
      <c r="BI46" s="412"/>
      <c r="BJ46" s="485">
        <v>0</v>
      </c>
      <c r="BK46" s="486"/>
      <c r="BL46" s="101"/>
      <c r="BM46" s="487"/>
      <c r="BN46" s="412"/>
      <c r="BO46" s="485">
        <v>0</v>
      </c>
      <c r="BP46" s="486"/>
      <c r="BQ46" s="101"/>
      <c r="BR46" s="487"/>
      <c r="BS46" s="488"/>
      <c r="BT46" s="485">
        <f>SUM(L46:BO46)</f>
        <v>0</v>
      </c>
      <c r="BU46" s="486"/>
      <c r="BV46" s="101"/>
      <c r="BW46" s="398"/>
      <c r="BX46" s="411"/>
      <c r="BY46" s="411"/>
    </row>
    <row r="47" spans="1:77" ht="12.75" hidden="1" customHeight="1" x14ac:dyDescent="0.2">
      <c r="A47" s="388"/>
      <c r="B47" s="388"/>
      <c r="D47" s="398" t="s">
        <v>455</v>
      </c>
      <c r="E47" s="404"/>
      <c r="F47" s="404"/>
      <c r="G47" s="101">
        <v>0</v>
      </c>
      <c r="H47" s="49"/>
      <c r="I47" s="101"/>
      <c r="J47" s="487"/>
      <c r="K47" s="487"/>
      <c r="L47" s="101">
        <v>0</v>
      </c>
      <c r="M47" s="49"/>
      <c r="N47" s="101"/>
      <c r="O47" s="487"/>
      <c r="P47" s="404"/>
      <c r="Q47" s="101">
        <v>0</v>
      </c>
      <c r="R47" s="49"/>
      <c r="S47" s="101"/>
      <c r="T47" s="487"/>
      <c r="U47" s="404"/>
      <c r="V47" s="101">
        <v>0</v>
      </c>
      <c r="W47" s="49"/>
      <c r="X47" s="101"/>
      <c r="Y47" s="487"/>
      <c r="Z47" s="404"/>
      <c r="AA47" s="101">
        <v>0</v>
      </c>
      <c r="AB47" s="49"/>
      <c r="AC47" s="101"/>
      <c r="AD47" s="487"/>
      <c r="AE47" s="404"/>
      <c r="AF47" s="101">
        <v>0</v>
      </c>
      <c r="AG47" s="49"/>
      <c r="AH47" s="101"/>
      <c r="AI47" s="487"/>
      <c r="AJ47" s="404"/>
      <c r="AK47" s="101">
        <v>0</v>
      </c>
      <c r="AL47" s="49"/>
      <c r="AM47" s="101"/>
      <c r="AN47" s="487"/>
      <c r="AO47" s="404"/>
      <c r="AP47" s="101">
        <v>0</v>
      </c>
      <c r="AQ47" s="49"/>
      <c r="AR47" s="101"/>
      <c r="AS47" s="487"/>
      <c r="AT47" s="404"/>
      <c r="AU47" s="101">
        <v>0</v>
      </c>
      <c r="AV47" s="49"/>
      <c r="AW47" s="101"/>
      <c r="AX47" s="487"/>
      <c r="AY47" s="404"/>
      <c r="AZ47" s="101">
        <v>0</v>
      </c>
      <c r="BA47" s="49"/>
      <c r="BB47" s="101"/>
      <c r="BC47" s="487"/>
      <c r="BD47" s="404"/>
      <c r="BE47" s="101">
        <v>0</v>
      </c>
      <c r="BF47" s="49"/>
      <c r="BG47" s="101"/>
      <c r="BH47" s="487"/>
      <c r="BI47" s="404"/>
      <c r="BJ47" s="101">
        <v>0</v>
      </c>
      <c r="BK47" s="49"/>
      <c r="BL47" s="101"/>
      <c r="BM47" s="487"/>
      <c r="BN47" s="404"/>
      <c r="BO47" s="101">
        <v>0</v>
      </c>
      <c r="BP47" s="49"/>
      <c r="BQ47" s="101"/>
      <c r="BR47" s="487"/>
      <c r="BS47" s="487"/>
      <c r="BT47" s="101">
        <f>SUM(L47:BO47)</f>
        <v>0</v>
      </c>
      <c r="BU47" s="49"/>
      <c r="BV47" s="101"/>
      <c r="BW47" s="398"/>
      <c r="BX47" s="411"/>
      <c r="BY47" s="411"/>
    </row>
    <row r="48" spans="1:77" ht="12.75" hidden="1" customHeight="1" x14ac:dyDescent="0.2">
      <c r="A48" s="388"/>
      <c r="B48" s="388"/>
      <c r="D48" s="398" t="s">
        <v>456</v>
      </c>
      <c r="E48" s="404"/>
      <c r="F48" s="427"/>
      <c r="G48" s="496">
        <v>0</v>
      </c>
      <c r="H48" s="90"/>
      <c r="I48" s="101"/>
      <c r="J48" s="487"/>
      <c r="K48" s="497"/>
      <c r="L48" s="496">
        <v>0</v>
      </c>
      <c r="M48" s="90"/>
      <c r="N48" s="101"/>
      <c r="O48" s="487"/>
      <c r="P48" s="427"/>
      <c r="Q48" s="496">
        <v>0</v>
      </c>
      <c r="R48" s="90"/>
      <c r="S48" s="101"/>
      <c r="T48" s="487"/>
      <c r="U48" s="427"/>
      <c r="V48" s="496">
        <v>0</v>
      </c>
      <c r="W48" s="90"/>
      <c r="X48" s="101"/>
      <c r="Y48" s="487"/>
      <c r="Z48" s="427"/>
      <c r="AA48" s="496">
        <v>0</v>
      </c>
      <c r="AB48" s="90"/>
      <c r="AC48" s="101"/>
      <c r="AD48" s="487"/>
      <c r="AE48" s="427"/>
      <c r="AF48" s="496">
        <v>0</v>
      </c>
      <c r="AG48" s="90"/>
      <c r="AH48" s="101"/>
      <c r="AI48" s="487"/>
      <c r="AJ48" s="427"/>
      <c r="AK48" s="496">
        <v>0</v>
      </c>
      <c r="AL48" s="90"/>
      <c r="AM48" s="101"/>
      <c r="AN48" s="487"/>
      <c r="AO48" s="427"/>
      <c r="AP48" s="496">
        <v>0</v>
      </c>
      <c r="AQ48" s="90"/>
      <c r="AR48" s="101"/>
      <c r="AS48" s="487"/>
      <c r="AT48" s="427"/>
      <c r="AU48" s="496">
        <v>0</v>
      </c>
      <c r="AV48" s="90"/>
      <c r="AW48" s="101"/>
      <c r="AX48" s="487"/>
      <c r="AY48" s="427"/>
      <c r="AZ48" s="496">
        <v>0</v>
      </c>
      <c r="BA48" s="90"/>
      <c r="BB48" s="101"/>
      <c r="BC48" s="487"/>
      <c r="BD48" s="427"/>
      <c r="BE48" s="496">
        <v>0</v>
      </c>
      <c r="BF48" s="90"/>
      <c r="BG48" s="101"/>
      <c r="BH48" s="487"/>
      <c r="BI48" s="427"/>
      <c r="BJ48" s="496">
        <v>0</v>
      </c>
      <c r="BK48" s="90"/>
      <c r="BL48" s="101"/>
      <c r="BM48" s="487"/>
      <c r="BN48" s="427"/>
      <c r="BO48" s="496">
        <v>0</v>
      </c>
      <c r="BP48" s="90"/>
      <c r="BQ48" s="101"/>
      <c r="BR48" s="487"/>
      <c r="BS48" s="497"/>
      <c r="BT48" s="496">
        <f>SUM(L48:BO48)</f>
        <v>0</v>
      </c>
      <c r="BU48" s="90"/>
      <c r="BV48" s="101"/>
      <c r="BW48" s="398"/>
      <c r="BX48" s="411"/>
      <c r="BY48" s="411"/>
    </row>
    <row r="49" spans="1:77" ht="12.75" hidden="1" customHeight="1" x14ac:dyDescent="0.2">
      <c r="A49" s="388"/>
      <c r="B49" s="388"/>
      <c r="D49" s="398"/>
      <c r="E49" s="404"/>
      <c r="F49" s="388"/>
      <c r="G49" s="101"/>
      <c r="H49" s="101"/>
      <c r="I49" s="101"/>
      <c r="J49" s="487"/>
      <c r="K49" s="101"/>
      <c r="L49" s="101"/>
      <c r="M49" s="101"/>
      <c r="N49" s="101"/>
      <c r="O49" s="487"/>
      <c r="P49" s="101"/>
      <c r="Q49" s="101"/>
      <c r="R49" s="101"/>
      <c r="S49" s="101"/>
      <c r="T49" s="487"/>
      <c r="U49" s="101"/>
      <c r="V49" s="101"/>
      <c r="W49" s="101"/>
      <c r="X49" s="101"/>
      <c r="Y49" s="487"/>
      <c r="Z49" s="101"/>
      <c r="AA49" s="101"/>
      <c r="AB49" s="101"/>
      <c r="AC49" s="101"/>
      <c r="AD49" s="487"/>
      <c r="AE49" s="101"/>
      <c r="AF49" s="101"/>
      <c r="AG49" s="101"/>
      <c r="AH49" s="101"/>
      <c r="AI49" s="487"/>
      <c r="AJ49" s="101"/>
      <c r="AK49" s="101"/>
      <c r="AL49" s="101"/>
      <c r="AM49" s="101"/>
      <c r="AN49" s="487"/>
      <c r="AO49" s="101"/>
      <c r="AP49" s="101"/>
      <c r="AQ49" s="101"/>
      <c r="AR49" s="101"/>
      <c r="AS49" s="487"/>
      <c r="AT49" s="101"/>
      <c r="AU49" s="101"/>
      <c r="AV49" s="101"/>
      <c r="AW49" s="101"/>
      <c r="AX49" s="487"/>
      <c r="AY49" s="101"/>
      <c r="AZ49" s="101"/>
      <c r="BA49" s="101"/>
      <c r="BB49" s="101"/>
      <c r="BC49" s="487"/>
      <c r="BD49" s="101"/>
      <c r="BE49" s="101"/>
      <c r="BF49" s="101"/>
      <c r="BG49" s="101"/>
      <c r="BH49" s="487"/>
      <c r="BI49" s="101"/>
      <c r="BJ49" s="101"/>
      <c r="BK49" s="101"/>
      <c r="BL49" s="101"/>
      <c r="BM49" s="487"/>
      <c r="BN49" s="101"/>
      <c r="BO49" s="101"/>
      <c r="BP49" s="101"/>
      <c r="BQ49" s="101"/>
      <c r="BR49" s="487"/>
      <c r="BS49" s="101"/>
      <c r="BT49" s="101"/>
      <c r="BU49" s="101"/>
      <c r="BV49" s="101"/>
      <c r="BW49" s="398"/>
      <c r="BX49" s="411"/>
      <c r="BY49" s="411"/>
    </row>
    <row r="50" spans="1:77" ht="12.75" customHeight="1" x14ac:dyDescent="0.2">
      <c r="A50" s="388"/>
      <c r="B50" s="388"/>
      <c r="D50" s="398" t="s">
        <v>401</v>
      </c>
      <c r="E50" s="404"/>
      <c r="F50" s="388"/>
      <c r="G50" s="101">
        <f>SUM(G51:G53)</f>
        <v>4880000</v>
      </c>
      <c r="H50" s="101"/>
      <c r="I50" s="101"/>
      <c r="J50" s="487"/>
      <c r="K50" s="101"/>
      <c r="L50" s="101">
        <f>SUM(L51:L53)</f>
        <v>0</v>
      </c>
      <c r="M50" s="101"/>
      <c r="N50" s="101"/>
      <c r="O50" s="487"/>
      <c r="P50" s="388"/>
      <c r="Q50" s="101">
        <f>SUM(Q51:Q53)</f>
        <v>0</v>
      </c>
      <c r="R50" s="101"/>
      <c r="S50" s="101"/>
      <c r="T50" s="487"/>
      <c r="U50" s="388"/>
      <c r="V50" s="101">
        <f>SUM(V51:V53)</f>
        <v>0</v>
      </c>
      <c r="W50" s="101"/>
      <c r="X50" s="101"/>
      <c r="Y50" s="487"/>
      <c r="Z50" s="388"/>
      <c r="AA50" s="101">
        <f>SUM(AA51:AA53)</f>
        <v>0</v>
      </c>
      <c r="AB50" s="101"/>
      <c r="AC50" s="101"/>
      <c r="AD50" s="487"/>
      <c r="AE50" s="388"/>
      <c r="AF50" s="101">
        <f>SUM(AF51:AF53)</f>
        <v>0</v>
      </c>
      <c r="AG50" s="101"/>
      <c r="AH50" s="101"/>
      <c r="AI50" s="487"/>
      <c r="AJ50" s="388"/>
      <c r="AK50" s="101">
        <f>SUM(AK51:AK53)</f>
        <v>0</v>
      </c>
      <c r="AL50" s="101"/>
      <c r="AM50" s="101"/>
      <c r="AN50" s="487"/>
      <c r="AO50" s="388"/>
      <c r="AP50" s="101">
        <f>SUM(AP51:AP53)</f>
        <v>0</v>
      </c>
      <c r="AQ50" s="101"/>
      <c r="AR50" s="101"/>
      <c r="AS50" s="487"/>
      <c r="AT50" s="388"/>
      <c r="AU50" s="101">
        <f>SUM(AU51:AU53)</f>
        <v>0</v>
      </c>
      <c r="AV50" s="101"/>
      <c r="AW50" s="101"/>
      <c r="AX50" s="487"/>
      <c r="AY50" s="388"/>
      <c r="AZ50" s="101">
        <f>SUM(AZ51:AZ53)</f>
        <v>0</v>
      </c>
      <c r="BA50" s="101"/>
      <c r="BB50" s="101"/>
      <c r="BC50" s="487"/>
      <c r="BD50" s="388"/>
      <c r="BE50" s="101">
        <f>SUM(BE51:BE53)</f>
        <v>0</v>
      </c>
      <c r="BF50" s="101"/>
      <c r="BG50" s="101"/>
      <c r="BH50" s="487"/>
      <c r="BI50" s="388"/>
      <c r="BJ50" s="101">
        <f>SUM(BJ51:BJ53)</f>
        <v>6805000</v>
      </c>
      <c r="BK50" s="101"/>
      <c r="BL50" s="101"/>
      <c r="BM50" s="487"/>
      <c r="BN50" s="388"/>
      <c r="BO50" s="101">
        <f>SUM(BO51:BO53)</f>
        <v>0</v>
      </c>
      <c r="BP50" s="101"/>
      <c r="BQ50" s="101"/>
      <c r="BR50" s="487"/>
      <c r="BS50" s="101"/>
      <c r="BT50" s="101">
        <f>SUM(BT51:BT53)</f>
        <v>6805000</v>
      </c>
      <c r="BU50" s="101"/>
      <c r="BV50" s="101"/>
      <c r="BW50" s="398"/>
      <c r="BX50" s="411"/>
      <c r="BY50" s="411"/>
    </row>
    <row r="51" spans="1:77" ht="12.75" customHeight="1" x14ac:dyDescent="0.2">
      <c r="A51" s="388"/>
      <c r="B51" s="388"/>
      <c r="D51" s="398" t="s">
        <v>373</v>
      </c>
      <c r="E51" s="404"/>
      <c r="F51" s="412"/>
      <c r="G51" s="485">
        <v>4880000</v>
      </c>
      <c r="H51" s="486"/>
      <c r="I51" s="101"/>
      <c r="J51" s="487"/>
      <c r="K51" s="488"/>
      <c r="L51" s="485">
        <v>0</v>
      </c>
      <c r="M51" s="486"/>
      <c r="N51" s="101"/>
      <c r="O51" s="487"/>
      <c r="P51" s="412"/>
      <c r="Q51" s="485">
        <v>0</v>
      </c>
      <c r="R51" s="486"/>
      <c r="S51" s="101"/>
      <c r="T51" s="487"/>
      <c r="U51" s="412"/>
      <c r="V51" s="485">
        <v>0</v>
      </c>
      <c r="W51" s="486"/>
      <c r="X51" s="101"/>
      <c r="Y51" s="487"/>
      <c r="Z51" s="412"/>
      <c r="AA51" s="485">
        <v>0</v>
      </c>
      <c r="AB51" s="486"/>
      <c r="AC51" s="101"/>
      <c r="AD51" s="487"/>
      <c r="AE51" s="412"/>
      <c r="AF51" s="485">
        <v>0</v>
      </c>
      <c r="AG51" s="486"/>
      <c r="AH51" s="101"/>
      <c r="AI51" s="487"/>
      <c r="AJ51" s="412"/>
      <c r="AK51" s="485">
        <v>0</v>
      </c>
      <c r="AL51" s="486"/>
      <c r="AM51" s="101"/>
      <c r="AN51" s="487"/>
      <c r="AO51" s="412"/>
      <c r="AP51" s="485">
        <v>0</v>
      </c>
      <c r="AQ51" s="486"/>
      <c r="AR51" s="101"/>
      <c r="AS51" s="487"/>
      <c r="AT51" s="412"/>
      <c r="AU51" s="485">
        <v>0</v>
      </c>
      <c r="AV51" s="486"/>
      <c r="AW51" s="101"/>
      <c r="AX51" s="487"/>
      <c r="AY51" s="412"/>
      <c r="AZ51" s="485">
        <v>0</v>
      </c>
      <c r="BA51" s="486"/>
      <c r="BB51" s="101"/>
      <c r="BC51" s="487"/>
      <c r="BD51" s="412"/>
      <c r="BE51" s="485">
        <v>0</v>
      </c>
      <c r="BF51" s="486"/>
      <c r="BG51" s="101"/>
      <c r="BH51" s="487"/>
      <c r="BI51" s="412"/>
      <c r="BJ51" s="485">
        <v>6805000</v>
      </c>
      <c r="BK51" s="486"/>
      <c r="BL51" s="101"/>
      <c r="BM51" s="487"/>
      <c r="BN51" s="412"/>
      <c r="BO51" s="485">
        <v>0</v>
      </c>
      <c r="BP51" s="486"/>
      <c r="BQ51" s="101"/>
      <c r="BR51" s="487"/>
      <c r="BS51" s="488"/>
      <c r="BT51" s="485">
        <f>SUM(L51:BO51)</f>
        <v>6805000</v>
      </c>
      <c r="BU51" s="486"/>
      <c r="BV51" s="101"/>
      <c r="BW51" s="398"/>
      <c r="BX51" s="411"/>
      <c r="BY51" s="411"/>
    </row>
    <row r="52" spans="1:77" ht="12.75" customHeight="1" x14ac:dyDescent="0.2">
      <c r="A52" s="388"/>
      <c r="B52" s="388"/>
      <c r="D52" s="398" t="s">
        <v>455</v>
      </c>
      <c r="E52" s="404"/>
      <c r="F52" s="404"/>
      <c r="G52" s="101">
        <v>0</v>
      </c>
      <c r="H52" s="49"/>
      <c r="I52" s="101"/>
      <c r="J52" s="487"/>
      <c r="K52" s="487"/>
      <c r="L52" s="101">
        <v>0</v>
      </c>
      <c r="M52" s="49"/>
      <c r="N52" s="101"/>
      <c r="O52" s="487"/>
      <c r="P52" s="404"/>
      <c r="Q52" s="101">
        <v>0</v>
      </c>
      <c r="R52" s="49"/>
      <c r="S52" s="101"/>
      <c r="T52" s="487"/>
      <c r="U52" s="404"/>
      <c r="V52" s="101">
        <v>0</v>
      </c>
      <c r="W52" s="49"/>
      <c r="X52" s="101"/>
      <c r="Y52" s="487"/>
      <c r="Z52" s="404"/>
      <c r="AA52" s="101">
        <v>0</v>
      </c>
      <c r="AB52" s="49"/>
      <c r="AC52" s="101"/>
      <c r="AD52" s="487"/>
      <c r="AE52" s="404"/>
      <c r="AF52" s="101">
        <v>0</v>
      </c>
      <c r="AG52" s="49"/>
      <c r="AH52" s="101"/>
      <c r="AI52" s="487"/>
      <c r="AJ52" s="404"/>
      <c r="AK52" s="101">
        <v>0</v>
      </c>
      <c r="AL52" s="49"/>
      <c r="AM52" s="101"/>
      <c r="AN52" s="487"/>
      <c r="AO52" s="404"/>
      <c r="AP52" s="101">
        <v>0</v>
      </c>
      <c r="AQ52" s="49"/>
      <c r="AR52" s="101"/>
      <c r="AS52" s="487"/>
      <c r="AT52" s="404"/>
      <c r="AU52" s="101">
        <v>0</v>
      </c>
      <c r="AV52" s="49"/>
      <c r="AW52" s="101"/>
      <c r="AX52" s="487"/>
      <c r="AY52" s="404"/>
      <c r="AZ52" s="101">
        <v>0</v>
      </c>
      <c r="BA52" s="49"/>
      <c r="BB52" s="101"/>
      <c r="BC52" s="487"/>
      <c r="BD52" s="404"/>
      <c r="BE52" s="101">
        <v>0</v>
      </c>
      <c r="BF52" s="49"/>
      <c r="BG52" s="101"/>
      <c r="BH52" s="487"/>
      <c r="BI52" s="404"/>
      <c r="BJ52" s="101">
        <v>0</v>
      </c>
      <c r="BK52" s="49"/>
      <c r="BL52" s="101"/>
      <c r="BM52" s="487"/>
      <c r="BN52" s="404"/>
      <c r="BO52" s="101">
        <v>0</v>
      </c>
      <c r="BP52" s="49"/>
      <c r="BQ52" s="101"/>
      <c r="BR52" s="487"/>
      <c r="BS52" s="487"/>
      <c r="BT52" s="101">
        <f>SUM(L52:BO52)</f>
        <v>0</v>
      </c>
      <c r="BU52" s="49"/>
      <c r="BV52" s="101"/>
      <c r="BW52" s="398"/>
      <c r="BX52" s="411"/>
      <c r="BY52" s="411"/>
    </row>
    <row r="53" spans="1:77" ht="12.75" customHeight="1" x14ac:dyDescent="0.2">
      <c r="A53" s="388"/>
      <c r="B53" s="388"/>
      <c r="D53" s="398" t="s">
        <v>456</v>
      </c>
      <c r="E53" s="404"/>
      <c r="F53" s="427"/>
      <c r="G53" s="496">
        <v>0</v>
      </c>
      <c r="H53" s="90"/>
      <c r="I53" s="101"/>
      <c r="J53" s="487"/>
      <c r="K53" s="497"/>
      <c r="L53" s="496">
        <v>0</v>
      </c>
      <c r="M53" s="90"/>
      <c r="N53" s="101"/>
      <c r="O53" s="487"/>
      <c r="P53" s="427"/>
      <c r="Q53" s="496">
        <v>0</v>
      </c>
      <c r="R53" s="90"/>
      <c r="S53" s="101"/>
      <c r="T53" s="487"/>
      <c r="U53" s="427"/>
      <c r="V53" s="496">
        <v>0</v>
      </c>
      <c r="W53" s="90"/>
      <c r="X53" s="101"/>
      <c r="Y53" s="487"/>
      <c r="Z53" s="427"/>
      <c r="AA53" s="496">
        <v>0</v>
      </c>
      <c r="AB53" s="90"/>
      <c r="AC53" s="101"/>
      <c r="AD53" s="487"/>
      <c r="AE53" s="427"/>
      <c r="AF53" s="496">
        <v>0</v>
      </c>
      <c r="AG53" s="90"/>
      <c r="AH53" s="101"/>
      <c r="AI53" s="487"/>
      <c r="AJ53" s="427"/>
      <c r="AK53" s="496">
        <v>0</v>
      </c>
      <c r="AL53" s="90"/>
      <c r="AM53" s="101"/>
      <c r="AN53" s="487"/>
      <c r="AO53" s="427"/>
      <c r="AP53" s="496">
        <v>0</v>
      </c>
      <c r="AQ53" s="90"/>
      <c r="AR53" s="101"/>
      <c r="AS53" s="487"/>
      <c r="AT53" s="427"/>
      <c r="AU53" s="496">
        <v>0</v>
      </c>
      <c r="AV53" s="90"/>
      <c r="AW53" s="101"/>
      <c r="AX53" s="487"/>
      <c r="AY53" s="427"/>
      <c r="AZ53" s="496">
        <v>0</v>
      </c>
      <c r="BA53" s="90"/>
      <c r="BB53" s="101"/>
      <c r="BC53" s="487"/>
      <c r="BD53" s="427"/>
      <c r="BE53" s="496">
        <v>0</v>
      </c>
      <c r="BF53" s="90"/>
      <c r="BG53" s="101"/>
      <c r="BH53" s="487"/>
      <c r="BI53" s="427"/>
      <c r="BJ53" s="496">
        <v>0</v>
      </c>
      <c r="BK53" s="90"/>
      <c r="BL53" s="101"/>
      <c r="BM53" s="487"/>
      <c r="BN53" s="427"/>
      <c r="BO53" s="496">
        <v>0</v>
      </c>
      <c r="BP53" s="90"/>
      <c r="BQ53" s="101"/>
      <c r="BR53" s="487"/>
      <c r="BS53" s="497"/>
      <c r="BT53" s="496">
        <f>SUM(L53:BO53)</f>
        <v>0</v>
      </c>
      <c r="BU53" s="90"/>
      <c r="BV53" s="101"/>
      <c r="BW53" s="398"/>
      <c r="BX53" s="411"/>
      <c r="BY53" s="411"/>
    </row>
    <row r="54" spans="1:77" ht="12.75" x14ac:dyDescent="0.2">
      <c r="A54" s="388"/>
      <c r="B54" s="388"/>
      <c r="D54" s="398"/>
      <c r="E54" s="404"/>
      <c r="F54" s="388"/>
      <c r="G54" s="101"/>
      <c r="H54" s="101"/>
      <c r="I54" s="101"/>
      <c r="J54" s="487"/>
      <c r="K54" s="101"/>
      <c r="L54" s="101"/>
      <c r="M54" s="101"/>
      <c r="N54" s="101"/>
      <c r="O54" s="487"/>
      <c r="P54" s="101"/>
      <c r="Q54" s="101"/>
      <c r="R54" s="101"/>
      <c r="S54" s="101"/>
      <c r="T54" s="487"/>
      <c r="U54" s="101"/>
      <c r="V54" s="101"/>
      <c r="W54" s="101"/>
      <c r="X54" s="101"/>
      <c r="Y54" s="487"/>
      <c r="Z54" s="101"/>
      <c r="AA54" s="101"/>
      <c r="AB54" s="101"/>
      <c r="AC54" s="101"/>
      <c r="AD54" s="487"/>
      <c r="AE54" s="101"/>
      <c r="AF54" s="101"/>
      <c r="AG54" s="101"/>
      <c r="AH54" s="101"/>
      <c r="AI54" s="487"/>
      <c r="AJ54" s="101"/>
      <c r="AK54" s="101"/>
      <c r="AL54" s="101"/>
      <c r="AM54" s="101"/>
      <c r="AN54" s="487"/>
      <c r="AO54" s="101"/>
      <c r="AP54" s="101"/>
      <c r="AQ54" s="101"/>
      <c r="AR54" s="101"/>
      <c r="AS54" s="487"/>
      <c r="AT54" s="101"/>
      <c r="AU54" s="101"/>
      <c r="AV54" s="101"/>
      <c r="AW54" s="101"/>
      <c r="AX54" s="487"/>
      <c r="AY54" s="101"/>
      <c r="AZ54" s="101"/>
      <c r="BA54" s="101"/>
      <c r="BB54" s="101"/>
      <c r="BC54" s="487"/>
      <c r="BD54" s="101"/>
      <c r="BE54" s="101"/>
      <c r="BF54" s="101"/>
      <c r="BG54" s="101"/>
      <c r="BH54" s="487"/>
      <c r="BI54" s="101"/>
      <c r="BJ54" s="101"/>
      <c r="BK54" s="101"/>
      <c r="BL54" s="101"/>
      <c r="BM54" s="487"/>
      <c r="BN54" s="101"/>
      <c r="BO54" s="101"/>
      <c r="BP54" s="101"/>
      <c r="BQ54" s="101"/>
      <c r="BR54" s="487"/>
      <c r="BS54" s="101"/>
      <c r="BT54" s="101"/>
      <c r="BU54" s="101"/>
      <c r="BV54" s="101"/>
      <c r="BW54" s="398"/>
      <c r="BX54" s="411"/>
      <c r="BY54" s="411"/>
    </row>
    <row r="55" spans="1:77" ht="12.75" x14ac:dyDescent="0.2">
      <c r="A55" s="388"/>
      <c r="B55" s="388"/>
      <c r="D55" s="398" t="s">
        <v>393</v>
      </c>
      <c r="E55" s="404"/>
      <c r="F55" s="388"/>
      <c r="G55" s="101">
        <f>SUM(G56:G58)</f>
        <v>0</v>
      </c>
      <c r="H55" s="101"/>
      <c r="I55" s="101"/>
      <c r="J55" s="487"/>
      <c r="K55" s="101"/>
      <c r="L55" s="101">
        <f>SUM(L56:L58)</f>
        <v>0</v>
      </c>
      <c r="M55" s="101"/>
      <c r="N55" s="101"/>
      <c r="O55" s="487"/>
      <c r="P55" s="388"/>
      <c r="Q55" s="101">
        <f>SUM(Q56:Q58)</f>
        <v>0</v>
      </c>
      <c r="R55" s="101"/>
      <c r="S55" s="101"/>
      <c r="T55" s="487"/>
      <c r="U55" s="388"/>
      <c r="V55" s="101">
        <f>SUM(V56:V58)</f>
        <v>0</v>
      </c>
      <c r="W55" s="101"/>
      <c r="X55" s="101"/>
      <c r="Y55" s="487"/>
      <c r="Z55" s="388"/>
      <c r="AA55" s="101">
        <f>SUM(AA56:AA58)</f>
        <v>0</v>
      </c>
      <c r="AB55" s="101"/>
      <c r="AC55" s="101"/>
      <c r="AD55" s="487"/>
      <c r="AE55" s="388"/>
      <c r="AF55" s="101">
        <f>SUM(AF56:AF58)</f>
        <v>0</v>
      </c>
      <c r="AG55" s="101"/>
      <c r="AH55" s="101"/>
      <c r="AI55" s="487"/>
      <c r="AJ55" s="388"/>
      <c r="AK55" s="101">
        <f>SUM(AK56:AK58)</f>
        <v>0</v>
      </c>
      <c r="AL55" s="101"/>
      <c r="AM55" s="101"/>
      <c r="AN55" s="487"/>
      <c r="AO55" s="388"/>
      <c r="AP55" s="101">
        <f>SUM(AP56:AP58)</f>
        <v>0</v>
      </c>
      <c r="AQ55" s="101"/>
      <c r="AR55" s="101"/>
      <c r="AS55" s="487"/>
      <c r="AT55" s="388"/>
      <c r="AU55" s="101">
        <f>SUM(AU56:AU58)</f>
        <v>0</v>
      </c>
      <c r="AV55" s="101"/>
      <c r="AW55" s="101"/>
      <c r="AX55" s="487"/>
      <c r="AY55" s="388"/>
      <c r="AZ55" s="101">
        <f>SUM(AZ56:AZ58)</f>
        <v>0</v>
      </c>
      <c r="BA55" s="101"/>
      <c r="BB55" s="101"/>
      <c r="BC55" s="487"/>
      <c r="BD55" s="388"/>
      <c r="BE55" s="101">
        <f>SUM(BE56:BE58)</f>
        <v>0</v>
      </c>
      <c r="BF55" s="101"/>
      <c r="BG55" s="101"/>
      <c r="BH55" s="487"/>
      <c r="BI55" s="388"/>
      <c r="BJ55" s="101">
        <f>SUM(BJ56:BJ58)</f>
        <v>0</v>
      </c>
      <c r="BK55" s="101"/>
      <c r="BL55" s="101"/>
      <c r="BM55" s="487"/>
      <c r="BN55" s="388"/>
      <c r="BO55" s="101">
        <f>SUM(BO56:BO58)</f>
        <v>0</v>
      </c>
      <c r="BP55" s="101"/>
      <c r="BQ55" s="101"/>
      <c r="BR55" s="487"/>
      <c r="BS55" s="496"/>
      <c r="BT55" s="496">
        <f>SUM(BT56:BT58)</f>
        <v>0</v>
      </c>
      <c r="BU55" s="101"/>
      <c r="BV55" s="101"/>
      <c r="BW55" s="398"/>
      <c r="BX55" s="411"/>
      <c r="BY55" s="411"/>
    </row>
    <row r="56" spans="1:77" ht="12.75" x14ac:dyDescent="0.2">
      <c r="A56" s="388"/>
      <c r="B56" s="388"/>
      <c r="D56" s="398" t="s">
        <v>373</v>
      </c>
      <c r="E56" s="404"/>
      <c r="F56" s="412"/>
      <c r="G56" s="485">
        <v>0</v>
      </c>
      <c r="H56" s="486"/>
      <c r="I56" s="101"/>
      <c r="J56" s="487"/>
      <c r="K56" s="488"/>
      <c r="L56" s="485">
        <v>0</v>
      </c>
      <c r="M56" s="486"/>
      <c r="N56" s="101"/>
      <c r="O56" s="487"/>
      <c r="P56" s="412"/>
      <c r="Q56" s="485">
        <v>0</v>
      </c>
      <c r="R56" s="486"/>
      <c r="S56" s="101"/>
      <c r="T56" s="487"/>
      <c r="U56" s="412"/>
      <c r="V56" s="485">
        <v>0</v>
      </c>
      <c r="W56" s="486"/>
      <c r="X56" s="101"/>
      <c r="Y56" s="487"/>
      <c r="Z56" s="412"/>
      <c r="AA56" s="485">
        <v>0</v>
      </c>
      <c r="AB56" s="486"/>
      <c r="AC56" s="101"/>
      <c r="AD56" s="487"/>
      <c r="AE56" s="412"/>
      <c r="AF56" s="485">
        <v>0</v>
      </c>
      <c r="AG56" s="486"/>
      <c r="AH56" s="101"/>
      <c r="AI56" s="487"/>
      <c r="AJ56" s="412"/>
      <c r="AK56" s="485">
        <v>0</v>
      </c>
      <c r="AL56" s="486"/>
      <c r="AM56" s="101"/>
      <c r="AN56" s="487"/>
      <c r="AO56" s="412"/>
      <c r="AP56" s="485">
        <v>0</v>
      </c>
      <c r="AQ56" s="486"/>
      <c r="AR56" s="101"/>
      <c r="AS56" s="487"/>
      <c r="AT56" s="412"/>
      <c r="AU56" s="485">
        <v>0</v>
      </c>
      <c r="AV56" s="486"/>
      <c r="AW56" s="101"/>
      <c r="AX56" s="487"/>
      <c r="AY56" s="412"/>
      <c r="AZ56" s="485">
        <v>0</v>
      </c>
      <c r="BA56" s="486"/>
      <c r="BB56" s="101"/>
      <c r="BC56" s="487"/>
      <c r="BD56" s="412"/>
      <c r="BE56" s="485">
        <v>0</v>
      </c>
      <c r="BF56" s="486"/>
      <c r="BG56" s="101"/>
      <c r="BH56" s="487"/>
      <c r="BI56" s="412"/>
      <c r="BJ56" s="485">
        <v>0</v>
      </c>
      <c r="BK56" s="486"/>
      <c r="BL56" s="101"/>
      <c r="BM56" s="487"/>
      <c r="BN56" s="412"/>
      <c r="BO56" s="485">
        <v>0</v>
      </c>
      <c r="BP56" s="486"/>
      <c r="BQ56" s="101"/>
      <c r="BR56" s="487"/>
      <c r="BS56" s="487"/>
      <c r="BT56" s="101">
        <f>SUM(L56:BO56)</f>
        <v>0</v>
      </c>
      <c r="BU56" s="486"/>
      <c r="BV56" s="101"/>
      <c r="BW56" s="398"/>
      <c r="BX56" s="411"/>
      <c r="BY56" s="411"/>
    </row>
    <row r="57" spans="1:77" ht="12.75" x14ac:dyDescent="0.2">
      <c r="A57" s="388"/>
      <c r="B57" s="388"/>
      <c r="D57" s="398" t="s">
        <v>455</v>
      </c>
      <c r="E57" s="404"/>
      <c r="F57" s="404"/>
      <c r="G57" s="101">
        <v>0</v>
      </c>
      <c r="H57" s="49"/>
      <c r="I57" s="101"/>
      <c r="J57" s="487"/>
      <c r="K57" s="487"/>
      <c r="L57" s="101">
        <v>0</v>
      </c>
      <c r="M57" s="49"/>
      <c r="N57" s="101"/>
      <c r="O57" s="487"/>
      <c r="P57" s="404"/>
      <c r="Q57" s="101">
        <v>0</v>
      </c>
      <c r="R57" s="49"/>
      <c r="S57" s="101"/>
      <c r="T57" s="487"/>
      <c r="U57" s="404"/>
      <c r="V57" s="101">
        <v>0</v>
      </c>
      <c r="W57" s="49"/>
      <c r="X57" s="101"/>
      <c r="Y57" s="487"/>
      <c r="Z57" s="404"/>
      <c r="AA57" s="101">
        <v>0</v>
      </c>
      <c r="AB57" s="49"/>
      <c r="AC57" s="101"/>
      <c r="AD57" s="487"/>
      <c r="AE57" s="404"/>
      <c r="AF57" s="101">
        <v>0</v>
      </c>
      <c r="AG57" s="49"/>
      <c r="AH57" s="101"/>
      <c r="AI57" s="487"/>
      <c r="AJ57" s="404"/>
      <c r="AK57" s="101">
        <v>0</v>
      </c>
      <c r="AL57" s="49"/>
      <c r="AM57" s="101"/>
      <c r="AN57" s="487"/>
      <c r="AO57" s="404"/>
      <c r="AP57" s="101">
        <v>0</v>
      </c>
      <c r="AQ57" s="49"/>
      <c r="AR57" s="101"/>
      <c r="AS57" s="487"/>
      <c r="AT57" s="404"/>
      <c r="AU57" s="101">
        <v>0</v>
      </c>
      <c r="AV57" s="49"/>
      <c r="AW57" s="101"/>
      <c r="AX57" s="487"/>
      <c r="AY57" s="404"/>
      <c r="AZ57" s="101">
        <v>0</v>
      </c>
      <c r="BA57" s="49"/>
      <c r="BB57" s="101"/>
      <c r="BC57" s="487"/>
      <c r="BD57" s="404"/>
      <c r="BE57" s="101">
        <v>0</v>
      </c>
      <c r="BF57" s="49"/>
      <c r="BG57" s="101"/>
      <c r="BH57" s="487"/>
      <c r="BI57" s="404"/>
      <c r="BJ57" s="101">
        <v>0</v>
      </c>
      <c r="BK57" s="49"/>
      <c r="BL57" s="101"/>
      <c r="BM57" s="487"/>
      <c r="BN57" s="404"/>
      <c r="BO57" s="101">
        <v>0</v>
      </c>
      <c r="BP57" s="49"/>
      <c r="BQ57" s="101"/>
      <c r="BR57" s="487"/>
      <c r="BS57" s="487"/>
      <c r="BT57" s="101">
        <f>SUM(L57:BO57)</f>
        <v>0</v>
      </c>
      <c r="BU57" s="49"/>
      <c r="BV57" s="101"/>
      <c r="BW57" s="398"/>
      <c r="BX57" s="411"/>
      <c r="BY57" s="411"/>
    </row>
    <row r="58" spans="1:77" ht="12.75" x14ac:dyDescent="0.2">
      <c r="A58" s="388"/>
      <c r="B58" s="388"/>
      <c r="D58" s="398" t="s">
        <v>456</v>
      </c>
      <c r="E58" s="404"/>
      <c r="F58" s="427"/>
      <c r="G58" s="496">
        <v>0</v>
      </c>
      <c r="H58" s="90"/>
      <c r="I58" s="101"/>
      <c r="J58" s="487"/>
      <c r="K58" s="497"/>
      <c r="L58" s="496">
        <v>0</v>
      </c>
      <c r="M58" s="90"/>
      <c r="N58" s="101"/>
      <c r="O58" s="487"/>
      <c r="P58" s="427"/>
      <c r="Q58" s="496">
        <v>0</v>
      </c>
      <c r="R58" s="90"/>
      <c r="S58" s="101"/>
      <c r="T58" s="487"/>
      <c r="U58" s="427"/>
      <c r="V58" s="496">
        <v>0</v>
      </c>
      <c r="W58" s="90"/>
      <c r="X58" s="101"/>
      <c r="Y58" s="487"/>
      <c r="Z58" s="427"/>
      <c r="AA58" s="496">
        <v>0</v>
      </c>
      <c r="AB58" s="90"/>
      <c r="AC58" s="101"/>
      <c r="AD58" s="487"/>
      <c r="AE58" s="427"/>
      <c r="AF58" s="496">
        <v>0</v>
      </c>
      <c r="AG58" s="90"/>
      <c r="AH58" s="101"/>
      <c r="AI58" s="487"/>
      <c r="AJ58" s="427"/>
      <c r="AK58" s="496">
        <v>0</v>
      </c>
      <c r="AL58" s="90"/>
      <c r="AM58" s="101"/>
      <c r="AN58" s="487"/>
      <c r="AO58" s="427"/>
      <c r="AP58" s="496">
        <v>0</v>
      </c>
      <c r="AQ58" s="90"/>
      <c r="AR58" s="101"/>
      <c r="AS58" s="487"/>
      <c r="AT58" s="427"/>
      <c r="AU58" s="496">
        <v>0</v>
      </c>
      <c r="AV58" s="90"/>
      <c r="AW58" s="101"/>
      <c r="AX58" s="487"/>
      <c r="AY58" s="427"/>
      <c r="AZ58" s="496">
        <v>0</v>
      </c>
      <c r="BA58" s="90"/>
      <c r="BB58" s="101"/>
      <c r="BC58" s="487"/>
      <c r="BD58" s="427"/>
      <c r="BE58" s="496">
        <v>0</v>
      </c>
      <c r="BF58" s="90"/>
      <c r="BG58" s="101"/>
      <c r="BH58" s="487"/>
      <c r="BI58" s="427"/>
      <c r="BJ58" s="496">
        <v>0</v>
      </c>
      <c r="BK58" s="90"/>
      <c r="BL58" s="101"/>
      <c r="BM58" s="487"/>
      <c r="BN58" s="427"/>
      <c r="BO58" s="496">
        <v>0</v>
      </c>
      <c r="BP58" s="90"/>
      <c r="BQ58" s="101"/>
      <c r="BR58" s="487"/>
      <c r="BS58" s="497"/>
      <c r="BT58" s="496">
        <f>SUM(L58:BO58)</f>
        <v>0</v>
      </c>
      <c r="BU58" s="90"/>
      <c r="BV58" s="101"/>
      <c r="BW58" s="398"/>
      <c r="BX58" s="411"/>
      <c r="BY58" s="411"/>
    </row>
    <row r="59" spans="1:77" ht="12.75" x14ac:dyDescent="0.2">
      <c r="A59" s="388"/>
      <c r="B59" s="388"/>
      <c r="D59" s="398"/>
      <c r="E59" s="404"/>
      <c r="F59" s="388"/>
      <c r="G59" s="101"/>
      <c r="H59" s="101"/>
      <c r="I59" s="101"/>
      <c r="J59" s="487"/>
      <c r="K59" s="101"/>
      <c r="L59" s="101"/>
      <c r="M59" s="101"/>
      <c r="N59" s="101"/>
      <c r="O59" s="487"/>
      <c r="P59" s="101"/>
      <c r="Q59" s="101"/>
      <c r="R59" s="101"/>
      <c r="S59" s="101"/>
      <c r="T59" s="487"/>
      <c r="U59" s="101"/>
      <c r="V59" s="101"/>
      <c r="W59" s="101"/>
      <c r="X59" s="101"/>
      <c r="Y59" s="487"/>
      <c r="Z59" s="101"/>
      <c r="AA59" s="101"/>
      <c r="AB59" s="101"/>
      <c r="AC59" s="101"/>
      <c r="AD59" s="487"/>
      <c r="AE59" s="101"/>
      <c r="AF59" s="101"/>
      <c r="AG59" s="101"/>
      <c r="AH59" s="101"/>
      <c r="AI59" s="487"/>
      <c r="AJ59" s="101"/>
      <c r="AK59" s="101"/>
      <c r="AL59" s="101"/>
      <c r="AM59" s="101"/>
      <c r="AN59" s="487"/>
      <c r="AO59" s="101"/>
      <c r="AP59" s="101"/>
      <c r="AQ59" s="101"/>
      <c r="AR59" s="101"/>
      <c r="AS59" s="487"/>
      <c r="AT59" s="101"/>
      <c r="AU59" s="101"/>
      <c r="AV59" s="101"/>
      <c r="AW59" s="101"/>
      <c r="AX59" s="487"/>
      <c r="AY59" s="101"/>
      <c r="AZ59" s="101"/>
      <c r="BA59" s="101"/>
      <c r="BB59" s="101"/>
      <c r="BC59" s="487"/>
      <c r="BD59" s="101"/>
      <c r="BE59" s="101"/>
      <c r="BF59" s="101"/>
      <c r="BG59" s="101"/>
      <c r="BH59" s="487"/>
      <c r="BI59" s="101"/>
      <c r="BJ59" s="101"/>
      <c r="BK59" s="101"/>
      <c r="BL59" s="101"/>
      <c r="BM59" s="487"/>
      <c r="BN59" s="101"/>
      <c r="BO59" s="101"/>
      <c r="BP59" s="101"/>
      <c r="BQ59" s="101"/>
      <c r="BR59" s="487"/>
      <c r="BS59" s="101"/>
      <c r="BT59" s="101"/>
      <c r="BU59" s="101"/>
      <c r="BV59" s="101"/>
      <c r="BW59" s="398"/>
      <c r="BX59" s="411"/>
      <c r="BY59" s="411"/>
    </row>
    <row r="60" spans="1:77" ht="12.75" hidden="1" customHeight="1" x14ac:dyDescent="0.2">
      <c r="A60" s="388"/>
      <c r="B60" s="388"/>
      <c r="D60" s="398" t="s">
        <v>390</v>
      </c>
      <c r="E60" s="404"/>
      <c r="F60" s="388"/>
      <c r="G60" s="101">
        <f>SUM(G61:G63)</f>
        <v>0</v>
      </c>
      <c r="H60" s="101"/>
      <c r="I60" s="101"/>
      <c r="J60" s="487"/>
      <c r="K60" s="101"/>
      <c r="L60" s="101">
        <f>SUM(L61:L63)</f>
        <v>0</v>
      </c>
      <c r="M60" s="101"/>
      <c r="N60" s="101"/>
      <c r="O60" s="487"/>
      <c r="P60" s="388"/>
      <c r="Q60" s="101">
        <f>SUM(Q61:Q63)</f>
        <v>0</v>
      </c>
      <c r="R60" s="101"/>
      <c r="S60" s="101"/>
      <c r="T60" s="487"/>
      <c r="U60" s="388"/>
      <c r="V60" s="101">
        <f>SUM(V61:V63)</f>
        <v>0</v>
      </c>
      <c r="W60" s="101"/>
      <c r="X60" s="101"/>
      <c r="Y60" s="487"/>
      <c r="Z60" s="388"/>
      <c r="AA60" s="101">
        <f>SUM(AA61:AA63)</f>
        <v>0</v>
      </c>
      <c r="AB60" s="101"/>
      <c r="AC60" s="101"/>
      <c r="AD60" s="487"/>
      <c r="AE60" s="388"/>
      <c r="AF60" s="101">
        <f>SUM(AF61:AF63)</f>
        <v>0</v>
      </c>
      <c r="AG60" s="101"/>
      <c r="AH60" s="101"/>
      <c r="AI60" s="487"/>
      <c r="AJ60" s="388"/>
      <c r="AK60" s="101">
        <f>SUM(AK61:AK63)</f>
        <v>0</v>
      </c>
      <c r="AL60" s="101"/>
      <c r="AM60" s="101"/>
      <c r="AN60" s="487"/>
      <c r="AO60" s="388"/>
      <c r="AP60" s="101">
        <f>SUM(AP61:AP63)</f>
        <v>0</v>
      </c>
      <c r="AQ60" s="101"/>
      <c r="AR60" s="101"/>
      <c r="AS60" s="487"/>
      <c r="AT60" s="388"/>
      <c r="AU60" s="101">
        <f>SUM(AU61:AU63)</f>
        <v>0</v>
      </c>
      <c r="AV60" s="101"/>
      <c r="AW60" s="101"/>
      <c r="AX60" s="487"/>
      <c r="AY60" s="388"/>
      <c r="AZ60" s="101">
        <f>SUM(AZ61:AZ63)</f>
        <v>0</v>
      </c>
      <c r="BA60" s="101"/>
      <c r="BB60" s="101"/>
      <c r="BC60" s="487"/>
      <c r="BD60" s="388"/>
      <c r="BE60" s="101">
        <f>SUM(BE61:BE63)</f>
        <v>0</v>
      </c>
      <c r="BF60" s="101"/>
      <c r="BG60" s="101"/>
      <c r="BH60" s="487"/>
      <c r="BI60" s="388"/>
      <c r="BJ60" s="101">
        <f>SUM(BJ61:BJ63)</f>
        <v>0</v>
      </c>
      <c r="BK60" s="101"/>
      <c r="BL60" s="101"/>
      <c r="BM60" s="487"/>
      <c r="BN60" s="388"/>
      <c r="BO60" s="101">
        <f>SUM(BO61:BO63)</f>
        <v>0</v>
      </c>
      <c r="BP60" s="101"/>
      <c r="BQ60" s="101"/>
      <c r="BR60" s="487"/>
      <c r="BS60" s="496"/>
      <c r="BT60" s="496">
        <f>SUM(BT61:BT63)</f>
        <v>0</v>
      </c>
      <c r="BU60" s="101"/>
      <c r="BV60" s="101"/>
      <c r="BW60" s="398"/>
      <c r="BX60" s="411"/>
      <c r="BY60" s="411"/>
    </row>
    <row r="61" spans="1:77" ht="12.75" hidden="1" customHeight="1" x14ac:dyDescent="0.2">
      <c r="A61" s="388"/>
      <c r="B61" s="388"/>
      <c r="D61" s="398" t="s">
        <v>373</v>
      </c>
      <c r="E61" s="404"/>
      <c r="F61" s="412"/>
      <c r="G61" s="485">
        <v>0</v>
      </c>
      <c r="H61" s="486"/>
      <c r="I61" s="101"/>
      <c r="J61" s="487"/>
      <c r="K61" s="488"/>
      <c r="L61" s="485">
        <v>0</v>
      </c>
      <c r="M61" s="486"/>
      <c r="N61" s="101"/>
      <c r="O61" s="487"/>
      <c r="P61" s="412"/>
      <c r="Q61" s="485">
        <v>0</v>
      </c>
      <c r="R61" s="486"/>
      <c r="S61" s="101"/>
      <c r="T61" s="487"/>
      <c r="U61" s="412"/>
      <c r="V61" s="485">
        <v>0</v>
      </c>
      <c r="W61" s="486"/>
      <c r="X61" s="101"/>
      <c r="Y61" s="487"/>
      <c r="Z61" s="412"/>
      <c r="AA61" s="485">
        <v>0</v>
      </c>
      <c r="AB61" s="486"/>
      <c r="AC61" s="101"/>
      <c r="AD61" s="487"/>
      <c r="AE61" s="412"/>
      <c r="AF61" s="485">
        <v>0</v>
      </c>
      <c r="AG61" s="486"/>
      <c r="AH61" s="101"/>
      <c r="AI61" s="487"/>
      <c r="AJ61" s="412"/>
      <c r="AK61" s="485">
        <v>0</v>
      </c>
      <c r="AL61" s="486"/>
      <c r="AM61" s="101"/>
      <c r="AN61" s="487"/>
      <c r="AO61" s="412"/>
      <c r="AP61" s="485">
        <v>0</v>
      </c>
      <c r="AQ61" s="486"/>
      <c r="AR61" s="101"/>
      <c r="AS61" s="487"/>
      <c r="AT61" s="412"/>
      <c r="AU61" s="485">
        <v>0</v>
      </c>
      <c r="AV61" s="486"/>
      <c r="AW61" s="101"/>
      <c r="AX61" s="487"/>
      <c r="AY61" s="412"/>
      <c r="AZ61" s="485">
        <v>0</v>
      </c>
      <c r="BA61" s="486"/>
      <c r="BB61" s="101"/>
      <c r="BC61" s="487"/>
      <c r="BD61" s="412"/>
      <c r="BE61" s="485">
        <v>0</v>
      </c>
      <c r="BF61" s="486"/>
      <c r="BG61" s="101"/>
      <c r="BH61" s="487"/>
      <c r="BI61" s="412"/>
      <c r="BJ61" s="485">
        <v>0</v>
      </c>
      <c r="BK61" s="486"/>
      <c r="BL61" s="101"/>
      <c r="BM61" s="487"/>
      <c r="BN61" s="412"/>
      <c r="BO61" s="485">
        <v>0</v>
      </c>
      <c r="BP61" s="486"/>
      <c r="BQ61" s="101"/>
      <c r="BR61" s="487"/>
      <c r="BS61" s="487"/>
      <c r="BT61" s="101">
        <f>SUM(L61:BO61)</f>
        <v>0</v>
      </c>
      <c r="BU61" s="486"/>
      <c r="BV61" s="101"/>
      <c r="BW61" s="398"/>
      <c r="BX61" s="411"/>
      <c r="BY61" s="411"/>
    </row>
    <row r="62" spans="1:77" ht="12.75" hidden="1" customHeight="1" x14ac:dyDescent="0.2">
      <c r="A62" s="388"/>
      <c r="B62" s="388"/>
      <c r="D62" s="398" t="s">
        <v>455</v>
      </c>
      <c r="E62" s="404"/>
      <c r="F62" s="404"/>
      <c r="G62" s="101">
        <v>0</v>
      </c>
      <c r="H62" s="49"/>
      <c r="I62" s="101"/>
      <c r="J62" s="487"/>
      <c r="K62" s="487"/>
      <c r="L62" s="101">
        <v>0</v>
      </c>
      <c r="M62" s="49"/>
      <c r="N62" s="101"/>
      <c r="O62" s="487"/>
      <c r="P62" s="404"/>
      <c r="Q62" s="101">
        <v>0</v>
      </c>
      <c r="R62" s="49"/>
      <c r="S62" s="101"/>
      <c r="T62" s="487"/>
      <c r="U62" s="404"/>
      <c r="V62" s="101">
        <v>0</v>
      </c>
      <c r="W62" s="49"/>
      <c r="X62" s="101"/>
      <c r="Y62" s="487"/>
      <c r="Z62" s="404"/>
      <c r="AA62" s="101">
        <v>0</v>
      </c>
      <c r="AB62" s="49"/>
      <c r="AC62" s="101"/>
      <c r="AD62" s="487"/>
      <c r="AE62" s="404"/>
      <c r="AF62" s="101">
        <v>0</v>
      </c>
      <c r="AG62" s="49"/>
      <c r="AH62" s="101"/>
      <c r="AI62" s="487"/>
      <c r="AJ62" s="404"/>
      <c r="AK62" s="101">
        <v>0</v>
      </c>
      <c r="AL62" s="49"/>
      <c r="AM62" s="101"/>
      <c r="AN62" s="487"/>
      <c r="AO62" s="404"/>
      <c r="AP62" s="101">
        <v>0</v>
      </c>
      <c r="AQ62" s="49"/>
      <c r="AR62" s="101"/>
      <c r="AS62" s="487"/>
      <c r="AT62" s="404"/>
      <c r="AU62" s="101">
        <v>0</v>
      </c>
      <c r="AV62" s="49"/>
      <c r="AW62" s="101"/>
      <c r="AX62" s="487"/>
      <c r="AY62" s="404"/>
      <c r="AZ62" s="101">
        <v>0</v>
      </c>
      <c r="BA62" s="49"/>
      <c r="BB62" s="101"/>
      <c r="BC62" s="487"/>
      <c r="BD62" s="404"/>
      <c r="BE62" s="101">
        <v>0</v>
      </c>
      <c r="BF62" s="49"/>
      <c r="BG62" s="101"/>
      <c r="BH62" s="487"/>
      <c r="BI62" s="404"/>
      <c r="BJ62" s="101">
        <v>0</v>
      </c>
      <c r="BK62" s="49"/>
      <c r="BL62" s="101"/>
      <c r="BM62" s="487"/>
      <c r="BN62" s="404"/>
      <c r="BO62" s="101">
        <v>0</v>
      </c>
      <c r="BP62" s="49"/>
      <c r="BQ62" s="101"/>
      <c r="BR62" s="487"/>
      <c r="BS62" s="487"/>
      <c r="BT62" s="101">
        <f>SUM(L62:BO62)</f>
        <v>0</v>
      </c>
      <c r="BU62" s="49"/>
      <c r="BV62" s="101"/>
      <c r="BW62" s="398"/>
      <c r="BX62" s="411"/>
      <c r="BY62" s="411"/>
    </row>
    <row r="63" spans="1:77" ht="12.75" hidden="1" customHeight="1" x14ac:dyDescent="0.2">
      <c r="A63" s="388"/>
      <c r="B63" s="388"/>
      <c r="D63" s="398" t="s">
        <v>456</v>
      </c>
      <c r="E63" s="404"/>
      <c r="F63" s="427"/>
      <c r="G63" s="496">
        <v>0</v>
      </c>
      <c r="H63" s="90"/>
      <c r="I63" s="101"/>
      <c r="J63" s="487"/>
      <c r="K63" s="497"/>
      <c r="L63" s="496">
        <v>0</v>
      </c>
      <c r="M63" s="90"/>
      <c r="N63" s="101"/>
      <c r="O63" s="487"/>
      <c r="P63" s="427"/>
      <c r="Q63" s="496">
        <v>0</v>
      </c>
      <c r="R63" s="90"/>
      <c r="S63" s="101"/>
      <c r="T63" s="487"/>
      <c r="U63" s="427"/>
      <c r="V63" s="496">
        <v>0</v>
      </c>
      <c r="W63" s="90"/>
      <c r="X63" s="101"/>
      <c r="Y63" s="487"/>
      <c r="Z63" s="427"/>
      <c r="AA63" s="496">
        <v>0</v>
      </c>
      <c r="AB63" s="90"/>
      <c r="AC63" s="101"/>
      <c r="AD63" s="487"/>
      <c r="AE63" s="427"/>
      <c r="AF63" s="496">
        <v>0</v>
      </c>
      <c r="AG63" s="90"/>
      <c r="AH63" s="101"/>
      <c r="AI63" s="487"/>
      <c r="AJ63" s="427"/>
      <c r="AK63" s="496">
        <v>0</v>
      </c>
      <c r="AL63" s="90"/>
      <c r="AM63" s="101"/>
      <c r="AN63" s="487"/>
      <c r="AO63" s="427"/>
      <c r="AP63" s="496">
        <v>0</v>
      </c>
      <c r="AQ63" s="90"/>
      <c r="AR63" s="101"/>
      <c r="AS63" s="487"/>
      <c r="AT63" s="427"/>
      <c r="AU63" s="496">
        <v>0</v>
      </c>
      <c r="AV63" s="90"/>
      <c r="AW63" s="101"/>
      <c r="AX63" s="487"/>
      <c r="AY63" s="427"/>
      <c r="AZ63" s="496">
        <v>0</v>
      </c>
      <c r="BA63" s="90"/>
      <c r="BB63" s="101"/>
      <c r="BC63" s="487"/>
      <c r="BD63" s="427"/>
      <c r="BE63" s="496">
        <v>0</v>
      </c>
      <c r="BF63" s="90"/>
      <c r="BG63" s="101"/>
      <c r="BH63" s="487"/>
      <c r="BI63" s="427"/>
      <c r="BJ63" s="496">
        <v>0</v>
      </c>
      <c r="BK63" s="90"/>
      <c r="BL63" s="101"/>
      <c r="BM63" s="487"/>
      <c r="BN63" s="427"/>
      <c r="BO63" s="496">
        <v>0</v>
      </c>
      <c r="BP63" s="90"/>
      <c r="BQ63" s="101"/>
      <c r="BR63" s="487"/>
      <c r="BS63" s="497"/>
      <c r="BT63" s="496">
        <f>SUM(L63:BO63)</f>
        <v>0</v>
      </c>
      <c r="BU63" s="90"/>
      <c r="BV63" s="101"/>
      <c r="BW63" s="398"/>
      <c r="BX63" s="411"/>
      <c r="BY63" s="411"/>
    </row>
    <row r="64" spans="1:77" ht="12.75" hidden="1" customHeight="1" x14ac:dyDescent="0.2">
      <c r="A64" s="388"/>
      <c r="B64" s="388"/>
      <c r="D64" s="398"/>
      <c r="E64" s="404"/>
      <c r="F64" s="388"/>
      <c r="G64" s="101"/>
      <c r="H64" s="101"/>
      <c r="I64" s="101"/>
      <c r="J64" s="487"/>
      <c r="K64" s="101"/>
      <c r="L64" s="101"/>
      <c r="M64" s="101"/>
      <c r="N64" s="101"/>
      <c r="O64" s="487"/>
      <c r="P64" s="101"/>
      <c r="Q64" s="101"/>
      <c r="R64" s="101"/>
      <c r="S64" s="101"/>
      <c r="T64" s="487"/>
      <c r="U64" s="101"/>
      <c r="V64" s="101"/>
      <c r="W64" s="101"/>
      <c r="X64" s="101"/>
      <c r="Y64" s="487"/>
      <c r="Z64" s="101"/>
      <c r="AA64" s="101"/>
      <c r="AB64" s="101"/>
      <c r="AC64" s="101"/>
      <c r="AD64" s="487"/>
      <c r="AE64" s="101"/>
      <c r="AF64" s="101"/>
      <c r="AG64" s="101"/>
      <c r="AH64" s="101"/>
      <c r="AI64" s="487"/>
      <c r="AJ64" s="101"/>
      <c r="AK64" s="101"/>
      <c r="AL64" s="101"/>
      <c r="AM64" s="101"/>
      <c r="AN64" s="487"/>
      <c r="AO64" s="101"/>
      <c r="AP64" s="101"/>
      <c r="AQ64" s="101"/>
      <c r="AR64" s="101"/>
      <c r="AS64" s="487"/>
      <c r="AT64" s="101"/>
      <c r="AU64" s="101"/>
      <c r="AV64" s="101"/>
      <c r="AW64" s="101"/>
      <c r="AX64" s="487"/>
      <c r="AY64" s="101"/>
      <c r="AZ64" s="101"/>
      <c r="BA64" s="101"/>
      <c r="BB64" s="101"/>
      <c r="BC64" s="487"/>
      <c r="BD64" s="101"/>
      <c r="BE64" s="101"/>
      <c r="BF64" s="101"/>
      <c r="BG64" s="101"/>
      <c r="BH64" s="487"/>
      <c r="BI64" s="101"/>
      <c r="BJ64" s="101"/>
      <c r="BK64" s="101"/>
      <c r="BL64" s="101"/>
      <c r="BM64" s="487"/>
      <c r="BN64" s="101"/>
      <c r="BO64" s="101"/>
      <c r="BP64" s="101"/>
      <c r="BQ64" s="101"/>
      <c r="BR64" s="487"/>
      <c r="BS64" s="101"/>
      <c r="BT64" s="101"/>
      <c r="BU64" s="101"/>
      <c r="BV64" s="101"/>
      <c r="BW64" s="398"/>
      <c r="BX64" s="411"/>
      <c r="BY64" s="411"/>
    </row>
    <row r="65" spans="1:77" s="411" customFormat="1" ht="12.75" x14ac:dyDescent="0.2">
      <c r="A65" s="389"/>
      <c r="B65" s="389"/>
      <c r="D65" s="405" t="s">
        <v>459</v>
      </c>
      <c r="E65" s="407"/>
      <c r="F65" s="389"/>
      <c r="G65" s="482">
        <f>SUM(G66:G66)</f>
        <v>1028268</v>
      </c>
      <c r="H65" s="482"/>
      <c r="I65" s="482"/>
      <c r="J65" s="483"/>
      <c r="K65" s="482"/>
      <c r="L65" s="482">
        <f>SUM(L66:L66)</f>
        <v>487336</v>
      </c>
      <c r="M65" s="482"/>
      <c r="N65" s="482"/>
      <c r="O65" s="483"/>
      <c r="P65" s="482"/>
      <c r="Q65" s="482">
        <f>SUM(Q66:Q66)</f>
        <v>29682</v>
      </c>
      <c r="R65" s="482"/>
      <c r="S65" s="482"/>
      <c r="T65" s="483"/>
      <c r="U65" s="482"/>
      <c r="V65" s="482">
        <f>SUM(V66:V66)</f>
        <v>28489</v>
      </c>
      <c r="W65" s="482"/>
      <c r="X65" s="482"/>
      <c r="Y65" s="483"/>
      <c r="Z65" s="482"/>
      <c r="AA65" s="482">
        <f>SUM(AA66:AA66)</f>
        <v>0</v>
      </c>
      <c r="AB65" s="482"/>
      <c r="AC65" s="482"/>
      <c r="AD65" s="483"/>
      <c r="AE65" s="482"/>
      <c r="AF65" s="482">
        <f>SUM(AF66:AF66)</f>
        <v>41191</v>
      </c>
      <c r="AG65" s="482"/>
      <c r="AH65" s="482"/>
      <c r="AI65" s="483"/>
      <c r="AJ65" s="482"/>
      <c r="AK65" s="482">
        <f>SUM(AK66:AK66)</f>
        <v>18552</v>
      </c>
      <c r="AL65" s="482"/>
      <c r="AM65" s="482"/>
      <c r="AN65" s="483"/>
      <c r="AO65" s="482"/>
      <c r="AP65" s="482">
        <f>SUM(AP66:AP66)</f>
        <v>0</v>
      </c>
      <c r="AQ65" s="482"/>
      <c r="AR65" s="482"/>
      <c r="AS65" s="483"/>
      <c r="AT65" s="482"/>
      <c r="AU65" s="482">
        <f>SUM(AU66:AU66)</f>
        <v>0</v>
      </c>
      <c r="AV65" s="482"/>
      <c r="AW65" s="482"/>
      <c r="AX65" s="483"/>
      <c r="AY65" s="482"/>
      <c r="AZ65" s="482">
        <f>SUM(AZ66:AZ66)</f>
        <v>290338</v>
      </c>
      <c r="BA65" s="482"/>
      <c r="BB65" s="482"/>
      <c r="BC65" s="483"/>
      <c r="BD65" s="482"/>
      <c r="BE65" s="482">
        <f>SUM(BE66:BE66)</f>
        <v>132680</v>
      </c>
      <c r="BF65" s="482"/>
      <c r="BG65" s="482"/>
      <c r="BH65" s="483"/>
      <c r="BI65" s="482"/>
      <c r="BJ65" s="482">
        <f>SUM(BJ66:BJ66)</f>
        <v>1279237</v>
      </c>
      <c r="BK65" s="482"/>
      <c r="BL65" s="482"/>
      <c r="BM65" s="483"/>
      <c r="BN65" s="482"/>
      <c r="BO65" s="482">
        <f>SUM(BO66:BO66)</f>
        <v>2584491</v>
      </c>
      <c r="BP65" s="482"/>
      <c r="BQ65" s="482"/>
      <c r="BR65" s="483"/>
      <c r="BS65" s="482"/>
      <c r="BT65" s="482">
        <f>SUM(BT66:BT66)</f>
        <v>4891996</v>
      </c>
      <c r="BU65" s="482"/>
      <c r="BV65" s="482"/>
      <c r="BW65" s="405"/>
    </row>
    <row r="66" spans="1:77" ht="12.75" x14ac:dyDescent="0.2">
      <c r="A66" s="388"/>
      <c r="B66" s="388"/>
      <c r="D66" s="398" t="s">
        <v>373</v>
      </c>
      <c r="E66" s="404"/>
      <c r="F66" s="490"/>
      <c r="G66" s="491">
        <f>G69+G75+G78+G81+G84+G87+G90+G93+G96+G102+G105+G108+G111+G99+G117+G120+G72+G114</f>
        <v>1028268</v>
      </c>
      <c r="H66" s="492"/>
      <c r="I66" s="101"/>
      <c r="J66" s="487"/>
      <c r="K66" s="493"/>
      <c r="L66" s="491">
        <f>L69+L75+L78+L81+L84+L87+L90+L93+L96+L102+L105+L108+L111+L99+L117+L120+L72+L114</f>
        <v>487336</v>
      </c>
      <c r="M66" s="492"/>
      <c r="N66" s="101"/>
      <c r="O66" s="487"/>
      <c r="P66" s="493"/>
      <c r="Q66" s="491">
        <f>Q69+Q75+Q78+Q81+Q84+Q87+Q90+Q93+Q96+Q102+Q105+Q108+Q111+Q99+Q117+Q120+Q72+Q114</f>
        <v>29682</v>
      </c>
      <c r="R66" s="492"/>
      <c r="S66" s="101"/>
      <c r="T66" s="487"/>
      <c r="U66" s="493"/>
      <c r="V66" s="491">
        <f>V69+V75+V78+V81+V84+V87+V90+V93+V96+V102+V105+V108+V111+V99+V117+V120+V72+V114</f>
        <v>28489</v>
      </c>
      <c r="W66" s="492"/>
      <c r="X66" s="101"/>
      <c r="Y66" s="487"/>
      <c r="Z66" s="493"/>
      <c r="AA66" s="491">
        <v>0</v>
      </c>
      <c r="AB66" s="492"/>
      <c r="AC66" s="101"/>
      <c r="AD66" s="487"/>
      <c r="AE66" s="493"/>
      <c r="AF66" s="491">
        <f>AF69+AF75+AF78+AF81+AF84+AF87+AF90+AF93+AF96+AF102+AF105+AF108+AF111+AF99+AF117+AF120+AF72+AF114</f>
        <v>41191</v>
      </c>
      <c r="AG66" s="492"/>
      <c r="AH66" s="101"/>
      <c r="AI66" s="487"/>
      <c r="AJ66" s="493"/>
      <c r="AK66" s="491">
        <f>AK69+AK75+AK78+AK81+AK84+AK87+AK90+AK93+AK96+AK102+AK105+AK108+AK111+AK99+AK117+AK120+AK72+AK114</f>
        <v>18552</v>
      </c>
      <c r="AL66" s="492"/>
      <c r="AM66" s="101"/>
      <c r="AN66" s="487"/>
      <c r="AO66" s="493"/>
      <c r="AP66" s="491">
        <f>AP69+AP75+AP78+AP81+AP84+AP87+AP90+AP93+AP96+AP102+AP105+AP108+AP111+AP99+AP117+AP120+AP72+AP114</f>
        <v>0</v>
      </c>
      <c r="AQ66" s="492"/>
      <c r="AR66" s="101"/>
      <c r="AS66" s="487"/>
      <c r="AT66" s="493"/>
      <c r="AU66" s="491">
        <f>AU69+AU75+AU78+AU81+AU84+AU87+AU90+AU93+AU96+AU102+AU105+AU108+AU111+AU99+AU117+AU120+AU72+AU114</f>
        <v>0</v>
      </c>
      <c r="AV66" s="492"/>
      <c r="AW66" s="101"/>
      <c r="AX66" s="487"/>
      <c r="AY66" s="493"/>
      <c r="AZ66" s="491">
        <f>AZ69+AZ75+AZ78+AZ81+AZ84+AZ87+AZ90+AZ93+AZ96+AZ102+AZ105+AZ108+AZ111+AZ99+AZ117+AZ120+AZ72+AZ114</f>
        <v>290338</v>
      </c>
      <c r="BA66" s="492"/>
      <c r="BB66" s="101"/>
      <c r="BC66" s="487"/>
      <c r="BD66" s="493"/>
      <c r="BE66" s="491">
        <f>BE69+BE75+BE78+BE81+BE84+BE87+BE90+BE93+BE96+BE102+BE105+BE108+BE111+BE99+BE117+BE120+BE72+BE114</f>
        <v>132680</v>
      </c>
      <c r="BF66" s="492"/>
      <c r="BG66" s="101"/>
      <c r="BH66" s="487"/>
      <c r="BI66" s="493"/>
      <c r="BJ66" s="491">
        <f>BJ69+BJ75+BJ78+BJ81+BJ84+BJ87+BJ90+BJ93+BJ96+BJ102+BJ105+BJ108+BJ111+BJ99+BJ117+BJ120+BJ72+BJ114</f>
        <v>1279237</v>
      </c>
      <c r="BK66" s="492"/>
      <c r="BL66" s="101"/>
      <c r="BM66" s="487"/>
      <c r="BN66" s="493"/>
      <c r="BO66" s="491">
        <f>BO69+BO75+BO78+BO81+BO84+BO87+BO90+BO93+BO96+BO102+BO105+BO108+BO111+BO99+BO117+BO120+BO72+BO114</f>
        <v>2584491</v>
      </c>
      <c r="BP66" s="492"/>
      <c r="BQ66" s="101"/>
      <c r="BR66" s="487"/>
      <c r="BS66" s="493"/>
      <c r="BT66" s="491">
        <f>BT69+BT75+BT78+BT81+BT84+BT87+BT90+BT93+BT96+BT102+BT105+BT108+BT111+BT99+BT117+BT120+BT72+BT114</f>
        <v>4891996</v>
      </c>
      <c r="BU66" s="492"/>
      <c r="BV66" s="101"/>
      <c r="BW66" s="398"/>
      <c r="BX66" s="411"/>
      <c r="BY66" s="411"/>
    </row>
    <row r="67" spans="1:77" ht="12.75" x14ac:dyDescent="0.2">
      <c r="A67" s="388"/>
      <c r="B67" s="388"/>
      <c r="D67" s="398"/>
      <c r="E67" s="404"/>
      <c r="F67" s="388"/>
      <c r="G67" s="101"/>
      <c r="H67" s="101"/>
      <c r="I67" s="101"/>
      <c r="J67" s="487"/>
      <c r="K67" s="101"/>
      <c r="L67" s="101"/>
      <c r="M67" s="101"/>
      <c r="N67" s="101"/>
      <c r="O67" s="487"/>
      <c r="P67" s="101"/>
      <c r="Q67" s="101"/>
      <c r="R67" s="101"/>
      <c r="S67" s="101"/>
      <c r="T67" s="487"/>
      <c r="U67" s="101"/>
      <c r="V67" s="101"/>
      <c r="W67" s="101"/>
      <c r="X67" s="101"/>
      <c r="Y67" s="487"/>
      <c r="Z67" s="101"/>
      <c r="AA67" s="101"/>
      <c r="AB67" s="101"/>
      <c r="AC67" s="101"/>
      <c r="AD67" s="487"/>
      <c r="AE67" s="101"/>
      <c r="AF67" s="101"/>
      <c r="AG67" s="101"/>
      <c r="AH67" s="101"/>
      <c r="AI67" s="487"/>
      <c r="AJ67" s="101"/>
      <c r="AK67" s="101"/>
      <c r="AL67" s="101"/>
      <c r="AM67" s="101"/>
      <c r="AN67" s="487"/>
      <c r="AO67" s="101"/>
      <c r="AP67" s="101"/>
      <c r="AQ67" s="101"/>
      <c r="AR67" s="101"/>
      <c r="AS67" s="487"/>
      <c r="AT67" s="101"/>
      <c r="AU67" s="101"/>
      <c r="AV67" s="101"/>
      <c r="AW67" s="101"/>
      <c r="AX67" s="487"/>
      <c r="AY67" s="101"/>
      <c r="AZ67" s="101"/>
      <c r="BA67" s="101"/>
      <c r="BB67" s="101"/>
      <c r="BC67" s="487"/>
      <c r="BD67" s="101"/>
      <c r="BE67" s="101"/>
      <c r="BF67" s="101"/>
      <c r="BG67" s="101"/>
      <c r="BH67" s="487"/>
      <c r="BI67" s="101"/>
      <c r="BJ67" s="101"/>
      <c r="BK67" s="101"/>
      <c r="BL67" s="101"/>
      <c r="BM67" s="487"/>
      <c r="BN67" s="101"/>
      <c r="BO67" s="101"/>
      <c r="BP67" s="101"/>
      <c r="BQ67" s="101"/>
      <c r="BR67" s="487"/>
      <c r="BS67" s="101"/>
      <c r="BT67" s="101"/>
      <c r="BU67" s="101"/>
      <c r="BV67" s="101"/>
      <c r="BW67" s="398"/>
      <c r="BX67" s="411"/>
      <c r="BY67" s="411"/>
    </row>
    <row r="68" spans="1:77" ht="12.75" x14ac:dyDescent="0.2">
      <c r="A68" s="388"/>
      <c r="B68" s="388"/>
      <c r="D68" s="398" t="s">
        <v>399</v>
      </c>
      <c r="E68" s="404"/>
      <c r="F68" s="388"/>
      <c r="G68" s="101">
        <f>SUM(G69:G69)</f>
        <v>218557</v>
      </c>
      <c r="H68" s="101"/>
      <c r="I68" s="101"/>
      <c r="J68" s="487"/>
      <c r="K68" s="101"/>
      <c r="L68" s="101">
        <f>SUM(L69:L69)</f>
        <v>0</v>
      </c>
      <c r="M68" s="101"/>
      <c r="N68" s="101"/>
      <c r="O68" s="487"/>
      <c r="P68" s="101"/>
      <c r="Q68" s="101">
        <f>SUM(Q69:Q69)</f>
        <v>0</v>
      </c>
      <c r="R68" s="101"/>
      <c r="S68" s="101"/>
      <c r="T68" s="487"/>
      <c r="U68" s="101"/>
      <c r="V68" s="101">
        <f>SUM(V69:V69)</f>
        <v>0</v>
      </c>
      <c r="W68" s="101"/>
      <c r="X68" s="101"/>
      <c r="Y68" s="487"/>
      <c r="Z68" s="101"/>
      <c r="AA68" s="101">
        <f>SUM(AA69:AA69)</f>
        <v>0</v>
      </c>
      <c r="AB68" s="101"/>
      <c r="AC68" s="101"/>
      <c r="AD68" s="487"/>
      <c r="AE68" s="101"/>
      <c r="AF68" s="101">
        <f>SUM(AF69:AF69)</f>
        <v>0</v>
      </c>
      <c r="AG68" s="101"/>
      <c r="AH68" s="101"/>
      <c r="AI68" s="487"/>
      <c r="AJ68" s="101"/>
      <c r="AK68" s="101">
        <f>SUM(AK69:AK69)</f>
        <v>0</v>
      </c>
      <c r="AL68" s="101"/>
      <c r="AM68" s="101"/>
      <c r="AN68" s="487"/>
      <c r="AO68" s="101"/>
      <c r="AP68" s="101">
        <f>SUM(AP69:AP69)</f>
        <v>0</v>
      </c>
      <c r="AQ68" s="101"/>
      <c r="AR68" s="101"/>
      <c r="AS68" s="487"/>
      <c r="AT68" s="101"/>
      <c r="AU68" s="101">
        <f>SUM(AU69:AU69)</f>
        <v>0</v>
      </c>
      <c r="AV68" s="101"/>
      <c r="AW68" s="101"/>
      <c r="AX68" s="487"/>
      <c r="AY68" s="101"/>
      <c r="AZ68" s="101">
        <f>SUM(AZ69:AZ69)</f>
        <v>85877</v>
      </c>
      <c r="BA68" s="101"/>
      <c r="BB68" s="101"/>
      <c r="BC68" s="487"/>
      <c r="BD68" s="101"/>
      <c r="BE68" s="101">
        <f>SUM(BE69:BE69)</f>
        <v>132680</v>
      </c>
      <c r="BF68" s="101"/>
      <c r="BG68" s="101"/>
      <c r="BH68" s="487"/>
      <c r="BI68" s="101"/>
      <c r="BJ68" s="101">
        <f>SUM(BJ69:BJ69)</f>
        <v>0</v>
      </c>
      <c r="BK68" s="101"/>
      <c r="BL68" s="101"/>
      <c r="BM68" s="487"/>
      <c r="BN68" s="101"/>
      <c r="BO68" s="101">
        <f>SUM(BO69:BO69)</f>
        <v>0</v>
      </c>
      <c r="BP68" s="101"/>
      <c r="BQ68" s="101"/>
      <c r="BR68" s="487"/>
      <c r="BS68" s="101"/>
      <c r="BT68" s="101">
        <f>SUM(BT69:BT69)</f>
        <v>218557</v>
      </c>
      <c r="BU68" s="101"/>
      <c r="BV68" s="101"/>
      <c r="BW68" s="398"/>
      <c r="BX68" s="411"/>
      <c r="BY68" s="411"/>
    </row>
    <row r="69" spans="1:77" ht="12.75" x14ac:dyDescent="0.2">
      <c r="A69" s="388"/>
      <c r="B69" s="388"/>
      <c r="D69" s="398" t="s">
        <v>373</v>
      </c>
      <c r="E69" s="404"/>
      <c r="F69" s="490"/>
      <c r="G69" s="491">
        <v>218557</v>
      </c>
      <c r="H69" s="492"/>
      <c r="I69" s="101"/>
      <c r="J69" s="487"/>
      <c r="K69" s="493"/>
      <c r="L69" s="491">
        <v>0</v>
      </c>
      <c r="M69" s="492"/>
      <c r="N69" s="101"/>
      <c r="O69" s="487"/>
      <c r="P69" s="493"/>
      <c r="Q69" s="491">
        <v>0</v>
      </c>
      <c r="R69" s="492"/>
      <c r="S69" s="101"/>
      <c r="T69" s="487"/>
      <c r="U69" s="493"/>
      <c r="V69" s="491">
        <v>0</v>
      </c>
      <c r="W69" s="492"/>
      <c r="X69" s="101"/>
      <c r="Y69" s="487"/>
      <c r="Z69" s="493"/>
      <c r="AA69" s="491">
        <v>0</v>
      </c>
      <c r="AB69" s="492"/>
      <c r="AC69" s="101"/>
      <c r="AD69" s="487"/>
      <c r="AE69" s="493"/>
      <c r="AF69" s="491">
        <v>0</v>
      </c>
      <c r="AG69" s="492"/>
      <c r="AH69" s="101"/>
      <c r="AI69" s="487"/>
      <c r="AJ69" s="493"/>
      <c r="AK69" s="491">
        <v>0</v>
      </c>
      <c r="AL69" s="492"/>
      <c r="AM69" s="101"/>
      <c r="AN69" s="487"/>
      <c r="AO69" s="493"/>
      <c r="AP69" s="491">
        <v>0</v>
      </c>
      <c r="AQ69" s="492"/>
      <c r="AR69" s="101"/>
      <c r="AS69" s="487"/>
      <c r="AT69" s="493"/>
      <c r="AU69" s="491">
        <v>0</v>
      </c>
      <c r="AV69" s="492"/>
      <c r="AW69" s="101"/>
      <c r="AX69" s="487"/>
      <c r="AY69" s="493"/>
      <c r="AZ69" s="491">
        <v>85877</v>
      </c>
      <c r="BA69" s="492"/>
      <c r="BB69" s="101"/>
      <c r="BC69" s="487"/>
      <c r="BD69" s="493"/>
      <c r="BE69" s="491">
        <v>132680</v>
      </c>
      <c r="BF69" s="492"/>
      <c r="BG69" s="101"/>
      <c r="BH69" s="487"/>
      <c r="BI69" s="493"/>
      <c r="BJ69" s="491">
        <v>0</v>
      </c>
      <c r="BK69" s="492"/>
      <c r="BL69" s="101"/>
      <c r="BM69" s="487"/>
      <c r="BN69" s="493"/>
      <c r="BO69" s="491">
        <v>0</v>
      </c>
      <c r="BP69" s="492"/>
      <c r="BQ69" s="101"/>
      <c r="BR69" s="487"/>
      <c r="BS69" s="493"/>
      <c r="BT69" s="491">
        <f>SUM(L69:BO69)</f>
        <v>218557</v>
      </c>
      <c r="BU69" s="492"/>
      <c r="BV69" s="101"/>
      <c r="BW69" s="398"/>
      <c r="BX69" s="411"/>
      <c r="BY69" s="411"/>
    </row>
    <row r="70" spans="1:77" ht="12.75" x14ac:dyDescent="0.2">
      <c r="A70" s="388"/>
      <c r="B70" s="388"/>
      <c r="D70" s="398"/>
      <c r="E70" s="404"/>
      <c r="F70" s="388"/>
      <c r="G70" s="521"/>
      <c r="H70" s="521"/>
      <c r="I70" s="521"/>
      <c r="J70" s="522"/>
      <c r="K70" s="521"/>
      <c r="L70" s="521"/>
      <c r="M70" s="521"/>
      <c r="N70" s="521"/>
      <c r="O70" s="522"/>
      <c r="P70" s="521"/>
      <c r="Q70" s="521"/>
      <c r="R70" s="521"/>
      <c r="S70" s="521"/>
      <c r="T70" s="522"/>
      <c r="U70" s="521"/>
      <c r="V70" s="521"/>
      <c r="W70" s="521"/>
      <c r="X70" s="521"/>
      <c r="Y70" s="522"/>
      <c r="Z70" s="521"/>
      <c r="AA70" s="521"/>
      <c r="AB70" s="521"/>
      <c r="AC70" s="521"/>
      <c r="AD70" s="522"/>
      <c r="AE70" s="521"/>
      <c r="AF70" s="521"/>
      <c r="AG70" s="521"/>
      <c r="AH70" s="521"/>
      <c r="AI70" s="522"/>
      <c r="AJ70" s="521"/>
      <c r="AK70" s="521"/>
      <c r="AL70" s="521"/>
      <c r="AM70" s="521"/>
      <c r="AN70" s="522"/>
      <c r="AO70" s="521"/>
      <c r="AP70" s="521"/>
      <c r="AQ70" s="521"/>
      <c r="AR70" s="521"/>
      <c r="AS70" s="522"/>
      <c r="AT70" s="521"/>
      <c r="AU70" s="521"/>
      <c r="AV70" s="521"/>
      <c r="AW70" s="521"/>
      <c r="AX70" s="522"/>
      <c r="AY70" s="521"/>
      <c r="AZ70" s="521"/>
      <c r="BA70" s="521"/>
      <c r="BB70" s="521"/>
      <c r="BC70" s="522"/>
      <c r="BD70" s="521"/>
      <c r="BE70" s="521"/>
      <c r="BF70" s="521"/>
      <c r="BG70" s="521"/>
      <c r="BH70" s="522"/>
      <c r="BI70" s="521"/>
      <c r="BJ70" s="521"/>
      <c r="BK70" s="521"/>
      <c r="BL70" s="521"/>
      <c r="BM70" s="522"/>
      <c r="BN70" s="521"/>
      <c r="BO70" s="521"/>
      <c r="BP70" s="521"/>
      <c r="BQ70" s="521"/>
      <c r="BR70" s="522"/>
      <c r="BS70" s="521"/>
      <c r="BT70" s="101"/>
      <c r="BU70" s="101"/>
      <c r="BV70" s="101"/>
      <c r="BW70" s="398"/>
      <c r="BX70" s="411"/>
      <c r="BY70" s="411"/>
    </row>
    <row r="71" spans="1:77" ht="12.75" x14ac:dyDescent="0.2">
      <c r="A71" s="388"/>
      <c r="B71" s="388"/>
      <c r="D71" s="398" t="s">
        <v>400</v>
      </c>
      <c r="E71" s="404"/>
      <c r="F71" s="388"/>
      <c r="G71" s="101">
        <f>SUM(G72:G72)</f>
        <v>555556</v>
      </c>
      <c r="H71" s="101"/>
      <c r="I71" s="101"/>
      <c r="J71" s="487"/>
      <c r="K71" s="101"/>
      <c r="L71" s="101">
        <f>SUM(L72:L72)</f>
        <v>487336</v>
      </c>
      <c r="M71" s="101"/>
      <c r="N71" s="101"/>
      <c r="O71" s="487"/>
      <c r="P71" s="101"/>
      <c r="Q71" s="101">
        <f>SUM(Q72:Q72)</f>
        <v>0</v>
      </c>
      <c r="R71" s="101"/>
      <c r="S71" s="101"/>
      <c r="T71" s="487"/>
      <c r="U71" s="101"/>
      <c r="V71" s="101">
        <f>SUM(V72:V72)</f>
        <v>0</v>
      </c>
      <c r="W71" s="101"/>
      <c r="X71" s="101"/>
      <c r="Y71" s="487"/>
      <c r="Z71" s="101"/>
      <c r="AA71" s="101">
        <f>SUM(AA72:AA72)</f>
        <v>0</v>
      </c>
      <c r="AB71" s="101"/>
      <c r="AC71" s="101"/>
      <c r="AD71" s="487"/>
      <c r="AE71" s="101"/>
      <c r="AF71" s="101">
        <f>SUM(AF72:AF72)</f>
        <v>0</v>
      </c>
      <c r="AG71" s="101"/>
      <c r="AH71" s="101"/>
      <c r="AI71" s="487"/>
      <c r="AJ71" s="101"/>
      <c r="AK71" s="101">
        <f>SUM(AK72:AK72)</f>
        <v>0</v>
      </c>
      <c r="AL71" s="101"/>
      <c r="AM71" s="101"/>
      <c r="AN71" s="487"/>
      <c r="AO71" s="101"/>
      <c r="AP71" s="101">
        <f>SUM(AP72:AP72)</f>
        <v>0</v>
      </c>
      <c r="AQ71" s="101"/>
      <c r="AR71" s="101"/>
      <c r="AS71" s="487"/>
      <c r="AT71" s="101"/>
      <c r="AU71" s="101">
        <f>SUM(AU72:AU72)</f>
        <v>0</v>
      </c>
      <c r="AV71" s="101"/>
      <c r="AW71" s="101"/>
      <c r="AX71" s="487"/>
      <c r="AY71" s="101"/>
      <c r="AZ71" s="101">
        <f>SUM(AZ72:AZ72)</f>
        <v>68220</v>
      </c>
      <c r="BA71" s="101"/>
      <c r="BB71" s="101"/>
      <c r="BC71" s="487"/>
      <c r="BD71" s="101"/>
      <c r="BE71" s="101">
        <f>SUM(BE72:BE72)</f>
        <v>0</v>
      </c>
      <c r="BF71" s="101"/>
      <c r="BG71" s="101"/>
      <c r="BH71" s="487"/>
      <c r="BI71" s="101"/>
      <c r="BJ71" s="101">
        <f>SUM(BJ72:BJ72)</f>
        <v>119402</v>
      </c>
      <c r="BK71" s="101"/>
      <c r="BL71" s="101"/>
      <c r="BM71" s="487"/>
      <c r="BN71" s="101"/>
      <c r="BO71" s="101">
        <f>SUM(BO72:BO72)</f>
        <v>31938</v>
      </c>
      <c r="BP71" s="101"/>
      <c r="BQ71" s="101"/>
      <c r="BR71" s="487"/>
      <c r="BS71" s="101"/>
      <c r="BT71" s="101">
        <f>SUM(BT72:BT72)</f>
        <v>706896</v>
      </c>
      <c r="BU71" s="101"/>
      <c r="BV71" s="101"/>
      <c r="BW71" s="398"/>
      <c r="BX71" s="411"/>
      <c r="BY71" s="411"/>
    </row>
    <row r="72" spans="1:77" ht="12.75" x14ac:dyDescent="0.2">
      <c r="A72" s="388"/>
      <c r="B72" s="388"/>
      <c r="D72" s="398" t="s">
        <v>373</v>
      </c>
      <c r="E72" s="404"/>
      <c r="F72" s="490"/>
      <c r="G72" s="491">
        <v>555556</v>
      </c>
      <c r="H72" s="492"/>
      <c r="I72" s="101"/>
      <c r="J72" s="487"/>
      <c r="K72" s="493"/>
      <c r="L72" s="491">
        <v>487336</v>
      </c>
      <c r="M72" s="492"/>
      <c r="N72" s="101"/>
      <c r="O72" s="487"/>
      <c r="P72" s="493"/>
      <c r="Q72" s="491">
        <v>0</v>
      </c>
      <c r="R72" s="492"/>
      <c r="S72" s="101"/>
      <c r="T72" s="487"/>
      <c r="U72" s="493"/>
      <c r="V72" s="491">
        <v>0</v>
      </c>
      <c r="W72" s="492"/>
      <c r="X72" s="101"/>
      <c r="Y72" s="487"/>
      <c r="Z72" s="493"/>
      <c r="AA72" s="491">
        <v>0</v>
      </c>
      <c r="AB72" s="492"/>
      <c r="AC72" s="101"/>
      <c r="AD72" s="487"/>
      <c r="AE72" s="493"/>
      <c r="AF72" s="491">
        <v>0</v>
      </c>
      <c r="AG72" s="492"/>
      <c r="AH72" s="101"/>
      <c r="AI72" s="487"/>
      <c r="AJ72" s="493"/>
      <c r="AK72" s="491">
        <v>0</v>
      </c>
      <c r="AL72" s="492"/>
      <c r="AM72" s="101"/>
      <c r="AN72" s="487"/>
      <c r="AO72" s="493"/>
      <c r="AP72" s="491">
        <v>0</v>
      </c>
      <c r="AQ72" s="492"/>
      <c r="AR72" s="101"/>
      <c r="AS72" s="487"/>
      <c r="AT72" s="493"/>
      <c r="AU72" s="491">
        <v>0</v>
      </c>
      <c r="AV72" s="492"/>
      <c r="AW72" s="101"/>
      <c r="AX72" s="487"/>
      <c r="AY72" s="493"/>
      <c r="AZ72" s="491">
        <v>68220</v>
      </c>
      <c r="BA72" s="492"/>
      <c r="BB72" s="101"/>
      <c r="BC72" s="487"/>
      <c r="BD72" s="493"/>
      <c r="BE72" s="491">
        <v>0</v>
      </c>
      <c r="BF72" s="492"/>
      <c r="BG72" s="101"/>
      <c r="BH72" s="487"/>
      <c r="BI72" s="493"/>
      <c r="BJ72" s="491">
        <v>119402</v>
      </c>
      <c r="BK72" s="492"/>
      <c r="BL72" s="101"/>
      <c r="BM72" s="487"/>
      <c r="BN72" s="493"/>
      <c r="BO72" s="491">
        <v>31938</v>
      </c>
      <c r="BP72" s="492"/>
      <c r="BQ72" s="101"/>
      <c r="BR72" s="487"/>
      <c r="BS72" s="493"/>
      <c r="BT72" s="491">
        <f>SUM(L72:BO72)</f>
        <v>706896</v>
      </c>
      <c r="BU72" s="492"/>
      <c r="BV72" s="101"/>
      <c r="BW72" s="398"/>
      <c r="BX72" s="411"/>
      <c r="BY72" s="411"/>
    </row>
    <row r="73" spans="1:77" ht="12.75" x14ac:dyDescent="0.2">
      <c r="A73" s="388"/>
      <c r="B73" s="388"/>
      <c r="D73" s="398"/>
      <c r="E73" s="404"/>
      <c r="F73" s="388"/>
      <c r="G73" s="521"/>
      <c r="H73" s="521"/>
      <c r="I73" s="521"/>
      <c r="J73" s="522"/>
      <c r="K73" s="521"/>
      <c r="L73" s="521"/>
      <c r="M73" s="521"/>
      <c r="N73" s="521"/>
      <c r="O73" s="522"/>
      <c r="P73" s="521"/>
      <c r="Q73" s="521"/>
      <c r="R73" s="521"/>
      <c r="S73" s="521"/>
      <c r="T73" s="522"/>
      <c r="U73" s="521"/>
      <c r="V73" s="521"/>
      <c r="W73" s="521"/>
      <c r="X73" s="521"/>
      <c r="Y73" s="522"/>
      <c r="Z73" s="521"/>
      <c r="AA73" s="521"/>
      <c r="AB73" s="521"/>
      <c r="AC73" s="521"/>
      <c r="AD73" s="522"/>
      <c r="AE73" s="521"/>
      <c r="AF73" s="521"/>
      <c r="AG73" s="521"/>
      <c r="AH73" s="521"/>
      <c r="AI73" s="522"/>
      <c r="AJ73" s="521"/>
      <c r="AK73" s="521"/>
      <c r="AL73" s="521"/>
      <c r="AM73" s="521"/>
      <c r="AN73" s="522"/>
      <c r="AO73" s="521"/>
      <c r="AP73" s="521"/>
      <c r="AQ73" s="521"/>
      <c r="AR73" s="521"/>
      <c r="AS73" s="522"/>
      <c r="AT73" s="521"/>
      <c r="AU73" s="521"/>
      <c r="AV73" s="521"/>
      <c r="AW73" s="521"/>
      <c r="AX73" s="522"/>
      <c r="AY73" s="521"/>
      <c r="AZ73" s="521"/>
      <c r="BA73" s="521"/>
      <c r="BB73" s="521"/>
      <c r="BC73" s="522"/>
      <c r="BD73" s="521"/>
      <c r="BE73" s="521"/>
      <c r="BF73" s="521"/>
      <c r="BG73" s="521"/>
      <c r="BH73" s="522"/>
      <c r="BI73" s="521"/>
      <c r="BJ73" s="521"/>
      <c r="BK73" s="521"/>
      <c r="BL73" s="521"/>
      <c r="BM73" s="522"/>
      <c r="BN73" s="521"/>
      <c r="BO73" s="521"/>
      <c r="BP73" s="521"/>
      <c r="BQ73" s="521"/>
      <c r="BR73" s="522"/>
      <c r="BS73" s="521"/>
      <c r="BT73" s="101"/>
      <c r="BU73" s="101"/>
      <c r="BV73" s="101"/>
      <c r="BW73" s="398"/>
      <c r="BX73" s="411"/>
      <c r="BY73" s="411"/>
    </row>
    <row r="74" spans="1:77" ht="12.75" x14ac:dyDescent="0.2">
      <c r="A74" s="388"/>
      <c r="B74" s="388"/>
      <c r="D74" s="398" t="str">
        <f>[39]domlongtermissues!D292</f>
        <v xml:space="preserve">  R2044 (8.75%  2044-45-46/01/31)</v>
      </c>
      <c r="E74" s="404"/>
      <c r="F74" s="388"/>
      <c r="G74" s="101">
        <f>SUM(G75:G75)</f>
        <v>77049</v>
      </c>
      <c r="H74" s="101"/>
      <c r="I74" s="101"/>
      <c r="J74" s="487"/>
      <c r="K74" s="101"/>
      <c r="L74" s="101">
        <f>SUM(L75:L75)</f>
        <v>0</v>
      </c>
      <c r="M74" s="101"/>
      <c r="N74" s="101"/>
      <c r="O74" s="487"/>
      <c r="P74" s="101"/>
      <c r="Q74" s="101">
        <f>SUM(Q75:Q75)</f>
        <v>0</v>
      </c>
      <c r="R74" s="101"/>
      <c r="S74" s="101"/>
      <c r="T74" s="487"/>
      <c r="U74" s="101"/>
      <c r="V74" s="101">
        <f>SUM(V75:V75)</f>
        <v>0</v>
      </c>
      <c r="W74" s="101"/>
      <c r="X74" s="101"/>
      <c r="Y74" s="487"/>
      <c r="Z74" s="101"/>
      <c r="AA74" s="101">
        <f>SUM(AA75:AA75)</f>
        <v>0</v>
      </c>
      <c r="AB74" s="101"/>
      <c r="AC74" s="101"/>
      <c r="AD74" s="487"/>
      <c r="AE74" s="101"/>
      <c r="AF74" s="101">
        <f>SUM(AF75:AF75)</f>
        <v>0</v>
      </c>
      <c r="AG74" s="101"/>
      <c r="AH74" s="101"/>
      <c r="AI74" s="487"/>
      <c r="AJ74" s="101"/>
      <c r="AK74" s="101">
        <f>SUM(AK75:AK75)</f>
        <v>0</v>
      </c>
      <c r="AL74" s="101"/>
      <c r="AM74" s="101"/>
      <c r="AN74" s="487"/>
      <c r="AO74" s="101"/>
      <c r="AP74" s="101">
        <f>SUM(AP75:AP75)</f>
        <v>0</v>
      </c>
      <c r="AQ74" s="101"/>
      <c r="AR74" s="101"/>
      <c r="AS74" s="487"/>
      <c r="AT74" s="101"/>
      <c r="AU74" s="101">
        <f>SUM(AU75:AU75)</f>
        <v>0</v>
      </c>
      <c r="AV74" s="101"/>
      <c r="AW74" s="101"/>
      <c r="AX74" s="487"/>
      <c r="AY74" s="101"/>
      <c r="AZ74" s="101">
        <f>SUM(AZ75:AZ75)</f>
        <v>77049</v>
      </c>
      <c r="BA74" s="101"/>
      <c r="BB74" s="101"/>
      <c r="BC74" s="487"/>
      <c r="BD74" s="101"/>
      <c r="BE74" s="101">
        <f>SUM(BE75:BE75)</f>
        <v>0</v>
      </c>
      <c r="BF74" s="101"/>
      <c r="BG74" s="101"/>
      <c r="BH74" s="487"/>
      <c r="BI74" s="101"/>
      <c r="BJ74" s="101">
        <f>SUM(BJ75:BJ75)</f>
        <v>0</v>
      </c>
      <c r="BK74" s="101"/>
      <c r="BL74" s="101"/>
      <c r="BM74" s="487"/>
      <c r="BN74" s="101"/>
      <c r="BO74" s="101">
        <f>SUM(BO75:BO75)</f>
        <v>0</v>
      </c>
      <c r="BP74" s="101"/>
      <c r="BQ74" s="101"/>
      <c r="BR74" s="487"/>
      <c r="BS74" s="101"/>
      <c r="BT74" s="101">
        <f>SUM(BT75:BT75)</f>
        <v>77049</v>
      </c>
      <c r="BU74" s="101"/>
      <c r="BV74" s="101"/>
      <c r="BW74" s="398"/>
      <c r="BX74" s="411"/>
      <c r="BY74" s="411"/>
    </row>
    <row r="75" spans="1:77" ht="12.75" x14ac:dyDescent="0.2">
      <c r="A75" s="388"/>
      <c r="B75" s="388"/>
      <c r="D75" s="398" t="s">
        <v>373</v>
      </c>
      <c r="E75" s="404"/>
      <c r="F75" s="490"/>
      <c r="G75" s="491">
        <v>77049</v>
      </c>
      <c r="H75" s="492"/>
      <c r="I75" s="101"/>
      <c r="J75" s="487"/>
      <c r="K75" s="493"/>
      <c r="L75" s="491">
        <v>0</v>
      </c>
      <c r="M75" s="492"/>
      <c r="N75" s="101"/>
      <c r="O75" s="487"/>
      <c r="P75" s="493"/>
      <c r="Q75" s="491">
        <v>0</v>
      </c>
      <c r="R75" s="492"/>
      <c r="S75" s="101"/>
      <c r="T75" s="487"/>
      <c r="U75" s="493"/>
      <c r="V75" s="491">
        <v>0</v>
      </c>
      <c r="W75" s="492"/>
      <c r="X75" s="101"/>
      <c r="Y75" s="487"/>
      <c r="Z75" s="493"/>
      <c r="AA75" s="491">
        <v>0</v>
      </c>
      <c r="AB75" s="492"/>
      <c r="AC75" s="101"/>
      <c r="AD75" s="487"/>
      <c r="AE75" s="493"/>
      <c r="AF75" s="491">
        <v>0</v>
      </c>
      <c r="AG75" s="492"/>
      <c r="AH75" s="101"/>
      <c r="AI75" s="487"/>
      <c r="AJ75" s="493"/>
      <c r="AK75" s="491">
        <v>0</v>
      </c>
      <c r="AL75" s="492"/>
      <c r="AM75" s="101"/>
      <c r="AN75" s="487"/>
      <c r="AO75" s="493"/>
      <c r="AP75" s="491">
        <v>0</v>
      </c>
      <c r="AQ75" s="492"/>
      <c r="AR75" s="101"/>
      <c r="AS75" s="487"/>
      <c r="AT75" s="493"/>
      <c r="AU75" s="491">
        <v>0</v>
      </c>
      <c r="AV75" s="492"/>
      <c r="AW75" s="101"/>
      <c r="AX75" s="487"/>
      <c r="AY75" s="493"/>
      <c r="AZ75" s="491">
        <v>77049</v>
      </c>
      <c r="BA75" s="492"/>
      <c r="BB75" s="101"/>
      <c r="BC75" s="487"/>
      <c r="BD75" s="493"/>
      <c r="BE75" s="491">
        <v>0</v>
      </c>
      <c r="BF75" s="492"/>
      <c r="BG75" s="101"/>
      <c r="BH75" s="487"/>
      <c r="BI75" s="493"/>
      <c r="BJ75" s="491">
        <v>0</v>
      </c>
      <c r="BK75" s="492"/>
      <c r="BL75" s="101"/>
      <c r="BM75" s="487"/>
      <c r="BN75" s="493"/>
      <c r="BO75" s="491">
        <v>0</v>
      </c>
      <c r="BP75" s="492"/>
      <c r="BQ75" s="101"/>
      <c r="BR75" s="487"/>
      <c r="BS75" s="493"/>
      <c r="BT75" s="491">
        <f>SUM(L75:BO75)</f>
        <v>77049</v>
      </c>
      <c r="BU75" s="492"/>
      <c r="BV75" s="101"/>
      <c r="BW75" s="398"/>
      <c r="BX75" s="411"/>
      <c r="BY75" s="411"/>
    </row>
    <row r="76" spans="1:77" ht="12.75" x14ac:dyDescent="0.2">
      <c r="A76" s="388"/>
      <c r="B76" s="388"/>
      <c r="D76" s="398"/>
      <c r="E76" s="404"/>
      <c r="F76" s="388"/>
      <c r="G76" s="521"/>
      <c r="H76" s="521"/>
      <c r="I76" s="521"/>
      <c r="J76" s="522"/>
      <c r="K76" s="521"/>
      <c r="L76" s="521"/>
      <c r="M76" s="521"/>
      <c r="N76" s="521"/>
      <c r="O76" s="522"/>
      <c r="P76" s="521"/>
      <c r="Q76" s="521"/>
      <c r="R76" s="521"/>
      <c r="S76" s="521"/>
      <c r="T76" s="522"/>
      <c r="U76" s="521"/>
      <c r="V76" s="521"/>
      <c r="W76" s="521"/>
      <c r="X76" s="521"/>
      <c r="Y76" s="522"/>
      <c r="Z76" s="521"/>
      <c r="AA76" s="521"/>
      <c r="AB76" s="521"/>
      <c r="AC76" s="521"/>
      <c r="AD76" s="522"/>
      <c r="AE76" s="521"/>
      <c r="AF76" s="521"/>
      <c r="AG76" s="521"/>
      <c r="AH76" s="521"/>
      <c r="AI76" s="522"/>
      <c r="AJ76" s="521"/>
      <c r="AK76" s="521"/>
      <c r="AL76" s="521"/>
      <c r="AM76" s="521"/>
      <c r="AN76" s="522"/>
      <c r="AO76" s="521"/>
      <c r="AP76" s="521"/>
      <c r="AQ76" s="521"/>
      <c r="AR76" s="521"/>
      <c r="AS76" s="522"/>
      <c r="AT76" s="521"/>
      <c r="AU76" s="521"/>
      <c r="AV76" s="521"/>
      <c r="AW76" s="521"/>
      <c r="AX76" s="522"/>
      <c r="AY76" s="521"/>
      <c r="AZ76" s="521"/>
      <c r="BA76" s="521"/>
      <c r="BB76" s="521"/>
      <c r="BC76" s="522"/>
      <c r="BD76" s="521"/>
      <c r="BE76" s="521"/>
      <c r="BF76" s="521"/>
      <c r="BG76" s="521"/>
      <c r="BH76" s="522"/>
      <c r="BI76" s="521"/>
      <c r="BJ76" s="521"/>
      <c r="BK76" s="521"/>
      <c r="BL76" s="521"/>
      <c r="BM76" s="522"/>
      <c r="BN76" s="521"/>
      <c r="BO76" s="521"/>
      <c r="BP76" s="521"/>
      <c r="BQ76" s="521"/>
      <c r="BR76" s="522"/>
      <c r="BS76" s="521"/>
      <c r="BT76" s="101"/>
      <c r="BU76" s="101"/>
      <c r="BV76" s="101"/>
      <c r="BW76" s="398"/>
      <c r="BX76" s="411"/>
      <c r="BY76" s="411"/>
    </row>
    <row r="77" spans="1:77" ht="12.75" x14ac:dyDescent="0.2">
      <c r="A77" s="388"/>
      <c r="B77" s="388"/>
      <c r="D77" s="398" t="s">
        <v>384</v>
      </c>
      <c r="E77" s="404"/>
      <c r="F77" s="388"/>
      <c r="G77" s="101">
        <f>SUM(G78:G78)</f>
        <v>117363</v>
      </c>
      <c r="H77" s="101"/>
      <c r="I77" s="101"/>
      <c r="J77" s="487"/>
      <c r="K77" s="101"/>
      <c r="L77" s="101">
        <f>SUM(L78:L78)</f>
        <v>0</v>
      </c>
      <c r="M77" s="101"/>
      <c r="N77" s="101"/>
      <c r="O77" s="487"/>
      <c r="P77" s="101"/>
      <c r="Q77" s="101">
        <f>SUM(Q78:Q78)</f>
        <v>29682</v>
      </c>
      <c r="R77" s="101"/>
      <c r="S77" s="101"/>
      <c r="T77" s="487"/>
      <c r="U77" s="101"/>
      <c r="V77" s="101">
        <f>SUM(V78:V78)</f>
        <v>28489</v>
      </c>
      <c r="W77" s="101"/>
      <c r="X77" s="101"/>
      <c r="Y77" s="487"/>
      <c r="Z77" s="101"/>
      <c r="AA77" s="101">
        <f>SUM(AA78:AA78)</f>
        <v>0</v>
      </c>
      <c r="AB77" s="101"/>
      <c r="AC77" s="101"/>
      <c r="AD77" s="487"/>
      <c r="AE77" s="101"/>
      <c r="AF77" s="101">
        <f>SUM(AF78:AF78)</f>
        <v>0</v>
      </c>
      <c r="AG77" s="101"/>
      <c r="AH77" s="101"/>
      <c r="AI77" s="487"/>
      <c r="AJ77" s="101"/>
      <c r="AK77" s="101">
        <f>SUM(AK78:AK78)</f>
        <v>0</v>
      </c>
      <c r="AL77" s="101"/>
      <c r="AM77" s="101"/>
      <c r="AN77" s="487"/>
      <c r="AO77" s="101"/>
      <c r="AP77" s="101">
        <f>SUM(AP78:AP78)</f>
        <v>0</v>
      </c>
      <c r="AQ77" s="101"/>
      <c r="AR77" s="101"/>
      <c r="AS77" s="487"/>
      <c r="AT77" s="101"/>
      <c r="AU77" s="101">
        <f>SUM(AU78:AU78)</f>
        <v>0</v>
      </c>
      <c r="AV77" s="101"/>
      <c r="AW77" s="101"/>
      <c r="AX77" s="487"/>
      <c r="AY77" s="101"/>
      <c r="AZ77" s="101">
        <f>SUM(AZ78:AZ78)</f>
        <v>59192</v>
      </c>
      <c r="BA77" s="101"/>
      <c r="BB77" s="101"/>
      <c r="BC77" s="487"/>
      <c r="BD77" s="101"/>
      <c r="BE77" s="101">
        <f>SUM(BE78:BE78)</f>
        <v>0</v>
      </c>
      <c r="BF77" s="101"/>
      <c r="BG77" s="101"/>
      <c r="BH77" s="487"/>
      <c r="BI77" s="101"/>
      <c r="BJ77" s="101">
        <f>SUM(BJ78:BJ78)</f>
        <v>783477</v>
      </c>
      <c r="BK77" s="101"/>
      <c r="BL77" s="101"/>
      <c r="BM77" s="487"/>
      <c r="BN77" s="101"/>
      <c r="BO77" s="101">
        <f>SUM(BO78:BO78)</f>
        <v>1374648</v>
      </c>
      <c r="BP77" s="101"/>
      <c r="BQ77" s="101"/>
      <c r="BR77" s="487"/>
      <c r="BS77" s="101"/>
      <c r="BT77" s="101">
        <f>SUM(BT78:BT78)</f>
        <v>2275488</v>
      </c>
      <c r="BU77" s="101"/>
      <c r="BV77" s="101"/>
      <c r="BW77" s="398"/>
      <c r="BX77" s="411"/>
      <c r="BY77" s="411"/>
    </row>
    <row r="78" spans="1:77" ht="12.75" x14ac:dyDescent="0.2">
      <c r="A78" s="388"/>
      <c r="B78" s="388"/>
      <c r="D78" s="398" t="s">
        <v>373</v>
      </c>
      <c r="E78" s="404"/>
      <c r="F78" s="490"/>
      <c r="G78" s="491">
        <v>117363</v>
      </c>
      <c r="H78" s="492"/>
      <c r="I78" s="101"/>
      <c r="J78" s="487"/>
      <c r="K78" s="493"/>
      <c r="L78" s="491">
        <v>0</v>
      </c>
      <c r="M78" s="492"/>
      <c r="N78" s="101"/>
      <c r="O78" s="487"/>
      <c r="P78" s="493"/>
      <c r="Q78" s="491">
        <v>29682</v>
      </c>
      <c r="R78" s="492"/>
      <c r="S78" s="101"/>
      <c r="T78" s="487"/>
      <c r="U78" s="493"/>
      <c r="V78" s="491">
        <v>28489</v>
      </c>
      <c r="W78" s="492"/>
      <c r="X78" s="101"/>
      <c r="Y78" s="487"/>
      <c r="Z78" s="493"/>
      <c r="AA78" s="491">
        <v>0</v>
      </c>
      <c r="AB78" s="492"/>
      <c r="AC78" s="101"/>
      <c r="AD78" s="487"/>
      <c r="AE78" s="493"/>
      <c r="AF78" s="491">
        <v>0</v>
      </c>
      <c r="AG78" s="492"/>
      <c r="AH78" s="101"/>
      <c r="AI78" s="487"/>
      <c r="AJ78" s="493"/>
      <c r="AK78" s="491">
        <v>0</v>
      </c>
      <c r="AL78" s="492"/>
      <c r="AM78" s="101"/>
      <c r="AN78" s="487"/>
      <c r="AO78" s="493"/>
      <c r="AP78" s="491">
        <v>0</v>
      </c>
      <c r="AQ78" s="492"/>
      <c r="AR78" s="101"/>
      <c r="AS78" s="487"/>
      <c r="AT78" s="493"/>
      <c r="AU78" s="491">
        <v>0</v>
      </c>
      <c r="AV78" s="492"/>
      <c r="AW78" s="101"/>
      <c r="AX78" s="487"/>
      <c r="AY78" s="493"/>
      <c r="AZ78" s="491">
        <v>59192</v>
      </c>
      <c r="BA78" s="492"/>
      <c r="BB78" s="101"/>
      <c r="BC78" s="487"/>
      <c r="BD78" s="493"/>
      <c r="BE78" s="491">
        <v>0</v>
      </c>
      <c r="BF78" s="492"/>
      <c r="BG78" s="101"/>
      <c r="BH78" s="487"/>
      <c r="BI78" s="493"/>
      <c r="BJ78" s="491">
        <v>783477</v>
      </c>
      <c r="BK78" s="492"/>
      <c r="BL78" s="101"/>
      <c r="BM78" s="487"/>
      <c r="BN78" s="493"/>
      <c r="BO78" s="491">
        <v>1374648</v>
      </c>
      <c r="BP78" s="492"/>
      <c r="BQ78" s="101"/>
      <c r="BR78" s="487"/>
      <c r="BS78" s="493"/>
      <c r="BT78" s="491">
        <f>SUM(L78:BO78)</f>
        <v>2275488</v>
      </c>
      <c r="BU78" s="492"/>
      <c r="BV78" s="101"/>
      <c r="BW78" s="398"/>
      <c r="BX78" s="411"/>
      <c r="BY78" s="411"/>
    </row>
    <row r="79" spans="1:77" ht="12.75" customHeight="1" x14ac:dyDescent="0.2">
      <c r="A79" s="388"/>
      <c r="B79" s="388"/>
      <c r="D79" s="398"/>
      <c r="E79" s="404"/>
      <c r="F79" s="388"/>
      <c r="G79" s="101"/>
      <c r="H79" s="101"/>
      <c r="I79" s="101"/>
      <c r="J79" s="487"/>
      <c r="K79" s="101"/>
      <c r="L79" s="101"/>
      <c r="M79" s="101"/>
      <c r="N79" s="101"/>
      <c r="O79" s="487"/>
      <c r="P79" s="101"/>
      <c r="Q79" s="101"/>
      <c r="R79" s="101"/>
      <c r="S79" s="101"/>
      <c r="T79" s="487"/>
      <c r="U79" s="101"/>
      <c r="V79" s="101"/>
      <c r="W79" s="101"/>
      <c r="X79" s="101"/>
      <c r="Y79" s="487"/>
      <c r="Z79" s="101"/>
      <c r="AA79" s="101"/>
      <c r="AB79" s="101"/>
      <c r="AC79" s="101"/>
      <c r="AD79" s="487"/>
      <c r="AE79" s="101"/>
      <c r="AF79" s="101"/>
      <c r="AG79" s="101"/>
      <c r="AH79" s="101"/>
      <c r="AI79" s="487"/>
      <c r="AJ79" s="101"/>
      <c r="AK79" s="101"/>
      <c r="AL79" s="101"/>
      <c r="AM79" s="101"/>
      <c r="AN79" s="487"/>
      <c r="AO79" s="101"/>
      <c r="AP79" s="101"/>
      <c r="AQ79" s="101"/>
      <c r="AR79" s="101"/>
      <c r="AS79" s="487"/>
      <c r="AT79" s="101"/>
      <c r="AU79" s="101"/>
      <c r="AV79" s="101"/>
      <c r="AW79" s="101"/>
      <c r="AX79" s="487"/>
      <c r="AY79" s="101"/>
      <c r="AZ79" s="101"/>
      <c r="BA79" s="101"/>
      <c r="BB79" s="101"/>
      <c r="BC79" s="487"/>
      <c r="BD79" s="101"/>
      <c r="BE79" s="101"/>
      <c r="BF79" s="101"/>
      <c r="BG79" s="101"/>
      <c r="BH79" s="487"/>
      <c r="BI79" s="101"/>
      <c r="BJ79" s="101"/>
      <c r="BK79" s="101"/>
      <c r="BL79" s="101"/>
      <c r="BM79" s="487"/>
      <c r="BN79" s="101"/>
      <c r="BO79" s="101"/>
      <c r="BP79" s="101"/>
      <c r="BQ79" s="101"/>
      <c r="BR79" s="487"/>
      <c r="BS79" s="101"/>
      <c r="BT79" s="101"/>
      <c r="BU79" s="101"/>
      <c r="BV79" s="101"/>
      <c r="BW79" s="398"/>
      <c r="BX79" s="411"/>
      <c r="BY79" s="411"/>
    </row>
    <row r="80" spans="1:77" ht="12.75" customHeight="1" x14ac:dyDescent="0.2">
      <c r="A80" s="388"/>
      <c r="B80" s="388"/>
      <c r="D80" s="398" t="s">
        <v>406</v>
      </c>
      <c r="E80" s="404"/>
      <c r="F80" s="388"/>
      <c r="G80" s="101">
        <f>SUM(G81:G81)</f>
        <v>0</v>
      </c>
      <c r="H80" s="101"/>
      <c r="I80" s="101"/>
      <c r="J80" s="487"/>
      <c r="K80" s="101"/>
      <c r="L80" s="388">
        <f>SUM(L81:L81)</f>
        <v>0</v>
      </c>
      <c r="M80" s="101">
        <f>SUM(M81:M81)</f>
        <v>0</v>
      </c>
      <c r="N80" s="101"/>
      <c r="O80" s="487"/>
      <c r="P80" s="388"/>
      <c r="Q80" s="388">
        <f>SUM(Q81:Q81)</f>
        <v>0</v>
      </c>
      <c r="R80" s="101"/>
      <c r="S80" s="101"/>
      <c r="T80" s="487"/>
      <c r="U80" s="388"/>
      <c r="V80" s="388">
        <f>SUM(V81:V81)</f>
        <v>0</v>
      </c>
      <c r="W80" s="101"/>
      <c r="X80" s="101"/>
      <c r="Y80" s="487"/>
      <c r="Z80" s="388"/>
      <c r="AA80" s="388">
        <f>SUM(AA81:AA81)</f>
        <v>0</v>
      </c>
      <c r="AB80" s="101"/>
      <c r="AC80" s="101"/>
      <c r="AD80" s="487"/>
      <c r="AE80" s="388"/>
      <c r="AF80" s="388">
        <f>SUM(AF81:AF81)</f>
        <v>0</v>
      </c>
      <c r="AG80" s="101"/>
      <c r="AH80" s="101"/>
      <c r="AI80" s="487"/>
      <c r="AJ80" s="388"/>
      <c r="AK80" s="388">
        <f>SUM(AK81:AK81)</f>
        <v>0</v>
      </c>
      <c r="AL80" s="101"/>
      <c r="AM80" s="101"/>
      <c r="AN80" s="487"/>
      <c r="AO80" s="388"/>
      <c r="AP80" s="388">
        <f>SUM(AP81:AP81)</f>
        <v>0</v>
      </c>
      <c r="AQ80" s="101"/>
      <c r="AR80" s="101"/>
      <c r="AS80" s="487"/>
      <c r="AT80" s="388"/>
      <c r="AU80" s="388">
        <f>SUM(AU81:AU81)</f>
        <v>0</v>
      </c>
      <c r="AV80" s="101"/>
      <c r="AW80" s="101"/>
      <c r="AX80" s="487"/>
      <c r="AY80" s="388"/>
      <c r="AZ80" s="388">
        <f>SUM(AZ81:AZ81)</f>
        <v>0</v>
      </c>
      <c r="BA80" s="101"/>
      <c r="BB80" s="101"/>
      <c r="BC80" s="487"/>
      <c r="BD80" s="388"/>
      <c r="BE80" s="388">
        <f>SUM(BE81:BE81)</f>
        <v>0</v>
      </c>
      <c r="BF80" s="101"/>
      <c r="BG80" s="101"/>
      <c r="BH80" s="487"/>
      <c r="BI80" s="388"/>
      <c r="BJ80" s="388">
        <f>SUM(BJ81:BJ81)</f>
        <v>0</v>
      </c>
      <c r="BK80" s="101"/>
      <c r="BL80" s="101"/>
      <c r="BM80" s="487"/>
      <c r="BN80" s="388"/>
      <c r="BO80" s="388">
        <f>SUM(BO81:BO81)</f>
        <v>40151</v>
      </c>
      <c r="BP80" s="101"/>
      <c r="BQ80" s="101"/>
      <c r="BR80" s="487"/>
      <c r="BS80" s="388"/>
      <c r="BT80" s="101">
        <f>SUM(BT81:BT81)</f>
        <v>40151</v>
      </c>
      <c r="BU80" s="101"/>
      <c r="BV80" s="101"/>
      <c r="BW80" s="398"/>
      <c r="BX80" s="411"/>
      <c r="BY80" s="411"/>
    </row>
    <row r="81" spans="1:77" ht="12.75" customHeight="1" x14ac:dyDescent="0.2">
      <c r="A81" s="388"/>
      <c r="B81" s="388"/>
      <c r="D81" s="398" t="s">
        <v>373</v>
      </c>
      <c r="E81" s="404"/>
      <c r="F81" s="490"/>
      <c r="G81" s="491">
        <v>0</v>
      </c>
      <c r="H81" s="492"/>
      <c r="I81" s="101"/>
      <c r="J81" s="487"/>
      <c r="K81" s="493"/>
      <c r="L81" s="491">
        <v>0</v>
      </c>
      <c r="M81" s="492"/>
      <c r="N81" s="46"/>
      <c r="O81" s="487"/>
      <c r="P81" s="490"/>
      <c r="Q81" s="491">
        <v>0</v>
      </c>
      <c r="R81" s="492"/>
      <c r="S81" s="101"/>
      <c r="T81" s="487"/>
      <c r="U81" s="490"/>
      <c r="V81" s="491">
        <v>0</v>
      </c>
      <c r="W81" s="492"/>
      <c r="X81" s="101"/>
      <c r="Y81" s="487"/>
      <c r="Z81" s="490"/>
      <c r="AA81" s="491">
        <v>0</v>
      </c>
      <c r="AB81" s="492"/>
      <c r="AC81" s="101"/>
      <c r="AD81" s="487"/>
      <c r="AE81" s="490"/>
      <c r="AF81" s="491">
        <v>0</v>
      </c>
      <c r="AG81" s="492"/>
      <c r="AH81" s="101"/>
      <c r="AI81" s="487"/>
      <c r="AJ81" s="490"/>
      <c r="AK81" s="491">
        <v>0</v>
      </c>
      <c r="AL81" s="492"/>
      <c r="AM81" s="101"/>
      <c r="AN81" s="487"/>
      <c r="AO81" s="490"/>
      <c r="AP81" s="491">
        <v>0</v>
      </c>
      <c r="AQ81" s="492"/>
      <c r="AR81" s="101"/>
      <c r="AS81" s="487"/>
      <c r="AT81" s="490"/>
      <c r="AU81" s="491">
        <v>0</v>
      </c>
      <c r="AV81" s="492"/>
      <c r="AW81" s="101"/>
      <c r="AX81" s="487"/>
      <c r="AY81" s="490"/>
      <c r="AZ81" s="491">
        <v>0</v>
      </c>
      <c r="BA81" s="492"/>
      <c r="BB81" s="101"/>
      <c r="BC81" s="487"/>
      <c r="BD81" s="490"/>
      <c r="BE81" s="491">
        <v>0</v>
      </c>
      <c r="BF81" s="492"/>
      <c r="BG81" s="101"/>
      <c r="BH81" s="487"/>
      <c r="BI81" s="490"/>
      <c r="BJ81" s="491">
        <v>0</v>
      </c>
      <c r="BK81" s="492"/>
      <c r="BL81" s="101"/>
      <c r="BM81" s="487"/>
      <c r="BN81" s="490"/>
      <c r="BO81" s="491">
        <v>40151</v>
      </c>
      <c r="BP81" s="492"/>
      <c r="BQ81" s="101"/>
      <c r="BR81" s="487"/>
      <c r="BS81" s="490"/>
      <c r="BT81" s="491">
        <f>SUM(L81:BO81)</f>
        <v>40151</v>
      </c>
      <c r="BU81" s="492"/>
      <c r="BV81" s="101"/>
      <c r="BW81" s="398"/>
      <c r="BX81" s="411"/>
      <c r="BY81" s="411"/>
    </row>
    <row r="82" spans="1:77" ht="12.75" customHeight="1" x14ac:dyDescent="0.2">
      <c r="A82" s="388"/>
      <c r="B82" s="388"/>
      <c r="D82" s="398"/>
      <c r="E82" s="404"/>
      <c r="F82" s="388"/>
      <c r="G82" s="521"/>
      <c r="H82" s="521"/>
      <c r="I82" s="521"/>
      <c r="J82" s="522"/>
      <c r="K82" s="521"/>
      <c r="L82" s="521"/>
      <c r="M82" s="521"/>
      <c r="N82" s="521"/>
      <c r="O82" s="522"/>
      <c r="P82" s="521"/>
      <c r="Q82" s="521"/>
      <c r="R82" s="521"/>
      <c r="S82" s="521"/>
      <c r="T82" s="522"/>
      <c r="U82" s="521"/>
      <c r="V82" s="521"/>
      <c r="W82" s="521"/>
      <c r="X82" s="521"/>
      <c r="Y82" s="522"/>
      <c r="Z82" s="521"/>
      <c r="AA82" s="521"/>
      <c r="AB82" s="521"/>
      <c r="AC82" s="521"/>
      <c r="AD82" s="522"/>
      <c r="AE82" s="521"/>
      <c r="AF82" s="521"/>
      <c r="AG82" s="521"/>
      <c r="AH82" s="521"/>
      <c r="AI82" s="522"/>
      <c r="AJ82" s="521"/>
      <c r="AK82" s="521"/>
      <c r="AL82" s="521"/>
      <c r="AM82" s="521"/>
      <c r="AN82" s="522"/>
      <c r="AO82" s="521"/>
      <c r="AP82" s="521"/>
      <c r="AQ82" s="521"/>
      <c r="AR82" s="521"/>
      <c r="AS82" s="522"/>
      <c r="AT82" s="521"/>
      <c r="AU82" s="521"/>
      <c r="AV82" s="521"/>
      <c r="AW82" s="521"/>
      <c r="AX82" s="522"/>
      <c r="AY82" s="521"/>
      <c r="AZ82" s="521"/>
      <c r="BA82" s="521"/>
      <c r="BB82" s="521"/>
      <c r="BC82" s="522"/>
      <c r="BD82" s="521"/>
      <c r="BE82" s="521"/>
      <c r="BF82" s="521"/>
      <c r="BG82" s="521"/>
      <c r="BH82" s="522"/>
      <c r="BI82" s="521"/>
      <c r="BJ82" s="521"/>
      <c r="BK82" s="521"/>
      <c r="BL82" s="521"/>
      <c r="BM82" s="522"/>
      <c r="BN82" s="521"/>
      <c r="BO82" s="521"/>
      <c r="BP82" s="521"/>
      <c r="BQ82" s="521"/>
      <c r="BR82" s="522"/>
      <c r="BS82" s="521"/>
      <c r="BT82" s="101"/>
      <c r="BU82" s="101"/>
      <c r="BV82" s="101"/>
      <c r="BW82" s="398"/>
      <c r="BX82" s="411"/>
      <c r="BY82" s="411"/>
    </row>
    <row r="83" spans="1:77" ht="12.75" customHeight="1" x14ac:dyDescent="0.2">
      <c r="A83" s="388"/>
      <c r="B83" s="388"/>
      <c r="D83" s="398" t="s">
        <v>382</v>
      </c>
      <c r="E83" s="404"/>
      <c r="F83" s="388"/>
      <c r="G83" s="101">
        <f>SUM(G84:G84)</f>
        <v>0</v>
      </c>
      <c r="H83" s="101"/>
      <c r="I83" s="101"/>
      <c r="J83" s="487"/>
      <c r="K83" s="101"/>
      <c r="L83" s="101">
        <f>SUM(L84:L84)</f>
        <v>0</v>
      </c>
      <c r="M83" s="101"/>
      <c r="N83" s="101"/>
      <c r="O83" s="487"/>
      <c r="P83" s="101"/>
      <c r="Q83" s="101">
        <f>SUM(Q84:Q84)</f>
        <v>0</v>
      </c>
      <c r="R83" s="101"/>
      <c r="S83" s="101"/>
      <c r="T83" s="487"/>
      <c r="U83" s="101"/>
      <c r="V83" s="101">
        <f>SUM(V84:V84)</f>
        <v>0</v>
      </c>
      <c r="W83" s="101"/>
      <c r="X83" s="101"/>
      <c r="Y83" s="487"/>
      <c r="Z83" s="101"/>
      <c r="AA83" s="101">
        <f>SUM(AA84:AA84)</f>
        <v>0</v>
      </c>
      <c r="AB83" s="101"/>
      <c r="AC83" s="101"/>
      <c r="AD83" s="487"/>
      <c r="AE83" s="101"/>
      <c r="AF83" s="101">
        <f>SUM(AF84:AF84)</f>
        <v>0</v>
      </c>
      <c r="AG83" s="101"/>
      <c r="AH83" s="101"/>
      <c r="AI83" s="487"/>
      <c r="AJ83" s="101"/>
      <c r="AK83" s="101">
        <f>SUM(AK84:AK84)</f>
        <v>0</v>
      </c>
      <c r="AL83" s="101"/>
      <c r="AM83" s="101"/>
      <c r="AN83" s="487"/>
      <c r="AO83" s="101"/>
      <c r="AP83" s="101">
        <f>SUM(AP84:AP84)</f>
        <v>0</v>
      </c>
      <c r="AQ83" s="101"/>
      <c r="AR83" s="101"/>
      <c r="AS83" s="487"/>
      <c r="AT83" s="101"/>
      <c r="AU83" s="101">
        <f>SUM(AU84:AU84)</f>
        <v>0</v>
      </c>
      <c r="AV83" s="101"/>
      <c r="AW83" s="101"/>
      <c r="AX83" s="487"/>
      <c r="AY83" s="101"/>
      <c r="AZ83" s="101">
        <f>SUM(AZ84:AZ84)</f>
        <v>0</v>
      </c>
      <c r="BA83" s="101"/>
      <c r="BB83" s="101"/>
      <c r="BC83" s="487"/>
      <c r="BD83" s="101"/>
      <c r="BE83" s="101">
        <f>SUM(BE84:BE84)</f>
        <v>0</v>
      </c>
      <c r="BF83" s="101"/>
      <c r="BG83" s="101"/>
      <c r="BH83" s="487"/>
      <c r="BI83" s="101"/>
      <c r="BJ83" s="101">
        <f>SUM(BJ84:BJ84)</f>
        <v>322932</v>
      </c>
      <c r="BK83" s="101"/>
      <c r="BL83" s="101"/>
      <c r="BM83" s="487"/>
      <c r="BN83" s="101"/>
      <c r="BO83" s="101">
        <f>SUM(BO84:BO84)</f>
        <v>0</v>
      </c>
      <c r="BP83" s="101"/>
      <c r="BQ83" s="101"/>
      <c r="BR83" s="487"/>
      <c r="BS83" s="101"/>
      <c r="BT83" s="101">
        <f>SUM(BT84:BT84)</f>
        <v>322932</v>
      </c>
      <c r="BU83" s="101"/>
      <c r="BV83" s="101"/>
      <c r="BW83" s="398"/>
      <c r="BX83" s="411"/>
      <c r="BY83" s="411"/>
    </row>
    <row r="84" spans="1:77" ht="12.75" customHeight="1" x14ac:dyDescent="0.2">
      <c r="A84" s="388"/>
      <c r="B84" s="388"/>
      <c r="D84" s="398" t="s">
        <v>373</v>
      </c>
      <c r="E84" s="404"/>
      <c r="F84" s="490"/>
      <c r="G84" s="491">
        <v>0</v>
      </c>
      <c r="H84" s="492"/>
      <c r="I84" s="101"/>
      <c r="J84" s="487"/>
      <c r="K84" s="493"/>
      <c r="L84" s="491">
        <v>0</v>
      </c>
      <c r="M84" s="492"/>
      <c r="N84" s="101"/>
      <c r="O84" s="487"/>
      <c r="P84" s="493"/>
      <c r="Q84" s="491">
        <v>0</v>
      </c>
      <c r="R84" s="492"/>
      <c r="S84" s="101"/>
      <c r="T84" s="487"/>
      <c r="U84" s="493"/>
      <c r="V84" s="491">
        <v>0</v>
      </c>
      <c r="W84" s="492"/>
      <c r="X84" s="101"/>
      <c r="Y84" s="487"/>
      <c r="Z84" s="493"/>
      <c r="AA84" s="491">
        <v>0</v>
      </c>
      <c r="AB84" s="492"/>
      <c r="AC84" s="101"/>
      <c r="AD84" s="487"/>
      <c r="AE84" s="493"/>
      <c r="AF84" s="491">
        <v>0</v>
      </c>
      <c r="AG84" s="492"/>
      <c r="AH84" s="101"/>
      <c r="AI84" s="487"/>
      <c r="AJ84" s="493"/>
      <c r="AK84" s="491">
        <v>0</v>
      </c>
      <c r="AL84" s="492"/>
      <c r="AM84" s="101"/>
      <c r="AN84" s="487"/>
      <c r="AO84" s="493"/>
      <c r="AP84" s="491">
        <v>0</v>
      </c>
      <c r="AQ84" s="492"/>
      <c r="AR84" s="101"/>
      <c r="AS84" s="487"/>
      <c r="AT84" s="493"/>
      <c r="AU84" s="491">
        <v>0</v>
      </c>
      <c r="AV84" s="492"/>
      <c r="AW84" s="101"/>
      <c r="AX84" s="487"/>
      <c r="AY84" s="493"/>
      <c r="AZ84" s="491">
        <v>0</v>
      </c>
      <c r="BA84" s="492"/>
      <c r="BB84" s="101"/>
      <c r="BC84" s="487"/>
      <c r="BD84" s="493"/>
      <c r="BE84" s="491">
        <v>0</v>
      </c>
      <c r="BF84" s="492"/>
      <c r="BG84" s="101"/>
      <c r="BH84" s="487"/>
      <c r="BI84" s="493"/>
      <c r="BJ84" s="491">
        <v>322932</v>
      </c>
      <c r="BK84" s="492"/>
      <c r="BL84" s="101"/>
      <c r="BM84" s="487"/>
      <c r="BN84" s="493"/>
      <c r="BO84" s="491">
        <v>0</v>
      </c>
      <c r="BP84" s="492"/>
      <c r="BQ84" s="101"/>
      <c r="BR84" s="487"/>
      <c r="BS84" s="493"/>
      <c r="BT84" s="491">
        <f>SUM(L84:BO84)</f>
        <v>322932</v>
      </c>
      <c r="BU84" s="492"/>
      <c r="BV84" s="101"/>
      <c r="BW84" s="398"/>
      <c r="BX84" s="411"/>
      <c r="BY84" s="411"/>
    </row>
    <row r="85" spans="1:77" ht="12.75" x14ac:dyDescent="0.2">
      <c r="A85" s="388"/>
      <c r="B85" s="388"/>
      <c r="D85" s="398"/>
      <c r="E85" s="404"/>
      <c r="F85" s="388"/>
      <c r="G85" s="101"/>
      <c r="H85" s="101"/>
      <c r="I85" s="101"/>
      <c r="J85" s="487"/>
      <c r="K85" s="101"/>
      <c r="L85" s="101"/>
      <c r="M85" s="101"/>
      <c r="N85" s="101"/>
      <c r="O85" s="487"/>
      <c r="P85" s="101"/>
      <c r="Q85" s="101"/>
      <c r="R85" s="101"/>
      <c r="S85" s="101"/>
      <c r="T85" s="487"/>
      <c r="U85" s="101"/>
      <c r="V85" s="101"/>
      <c r="W85" s="101"/>
      <c r="X85" s="101"/>
      <c r="Y85" s="487"/>
      <c r="Z85" s="101"/>
      <c r="AA85" s="101"/>
      <c r="AB85" s="101"/>
      <c r="AC85" s="101"/>
      <c r="AD85" s="487"/>
      <c r="AE85" s="101"/>
      <c r="AF85" s="101"/>
      <c r="AG85" s="101"/>
      <c r="AH85" s="101"/>
      <c r="AI85" s="487"/>
      <c r="AJ85" s="101"/>
      <c r="AK85" s="101"/>
      <c r="AL85" s="101"/>
      <c r="AM85" s="101"/>
      <c r="AN85" s="487"/>
      <c r="AO85" s="101"/>
      <c r="AP85" s="101"/>
      <c r="AQ85" s="101"/>
      <c r="AR85" s="101"/>
      <c r="AS85" s="487"/>
      <c r="AT85" s="101"/>
      <c r="AU85" s="101"/>
      <c r="AV85" s="101"/>
      <c r="AW85" s="101"/>
      <c r="AX85" s="487"/>
      <c r="AY85" s="101"/>
      <c r="AZ85" s="101"/>
      <c r="BA85" s="101"/>
      <c r="BB85" s="101"/>
      <c r="BC85" s="487"/>
      <c r="BD85" s="101"/>
      <c r="BE85" s="101"/>
      <c r="BF85" s="101"/>
      <c r="BG85" s="101"/>
      <c r="BH85" s="487"/>
      <c r="BI85" s="101"/>
      <c r="BJ85" s="101"/>
      <c r="BK85" s="101"/>
      <c r="BL85" s="101"/>
      <c r="BM85" s="487"/>
      <c r="BN85" s="101"/>
      <c r="BO85" s="101"/>
      <c r="BP85" s="101"/>
      <c r="BQ85" s="101"/>
      <c r="BR85" s="487"/>
      <c r="BS85" s="101"/>
      <c r="BT85" s="101"/>
      <c r="BU85" s="101"/>
      <c r="BV85" s="101"/>
      <c r="BW85" s="398"/>
      <c r="BX85" s="411"/>
      <c r="BY85" s="411"/>
    </row>
    <row r="86" spans="1:77" ht="12.75" x14ac:dyDescent="0.2">
      <c r="A86" s="388"/>
      <c r="B86" s="388"/>
      <c r="D86" s="398" t="s">
        <v>386</v>
      </c>
      <c r="E86" s="404"/>
      <c r="F86" s="388"/>
      <c r="G86" s="101">
        <f>SUM(G87:G87)</f>
        <v>0</v>
      </c>
      <c r="H86" s="101"/>
      <c r="I86" s="101"/>
      <c r="J86" s="487"/>
      <c r="K86" s="388"/>
      <c r="L86" s="101">
        <f>SUM(L87:L87)</f>
        <v>0</v>
      </c>
      <c r="M86" s="101"/>
      <c r="N86" s="101"/>
      <c r="O86" s="487"/>
      <c r="P86" s="101"/>
      <c r="Q86" s="101">
        <f>SUM(Q87:Q87)</f>
        <v>0</v>
      </c>
      <c r="R86" s="101"/>
      <c r="S86" s="101"/>
      <c r="T86" s="487"/>
      <c r="U86" s="101"/>
      <c r="V86" s="101">
        <f>SUM(V87:V87)</f>
        <v>0</v>
      </c>
      <c r="W86" s="101"/>
      <c r="X86" s="101"/>
      <c r="Y86" s="487"/>
      <c r="Z86" s="101"/>
      <c r="AA86" s="101">
        <f>SUM(AA87:AA87)</f>
        <v>0</v>
      </c>
      <c r="AB86" s="101"/>
      <c r="AC86" s="101"/>
      <c r="AD86" s="487"/>
      <c r="AE86" s="101"/>
      <c r="AF86" s="101">
        <f>SUM(AF87:AF87)</f>
        <v>0</v>
      </c>
      <c r="AG86" s="101"/>
      <c r="AH86" s="101"/>
      <c r="AI86" s="487"/>
      <c r="AJ86" s="101"/>
      <c r="AK86" s="101">
        <f>SUM(AK87:AK87)</f>
        <v>0</v>
      </c>
      <c r="AL86" s="101"/>
      <c r="AM86" s="101"/>
      <c r="AN86" s="487"/>
      <c r="AO86" s="101"/>
      <c r="AP86" s="101">
        <f>SUM(AP87:AP87)</f>
        <v>0</v>
      </c>
      <c r="AQ86" s="101"/>
      <c r="AR86" s="101"/>
      <c r="AS86" s="487"/>
      <c r="AT86" s="101"/>
      <c r="AU86" s="101">
        <f>SUM(AU87:AU87)</f>
        <v>0</v>
      </c>
      <c r="AV86" s="101"/>
      <c r="AW86" s="101"/>
      <c r="AX86" s="487"/>
      <c r="AY86" s="101"/>
      <c r="AZ86" s="101">
        <f>SUM(AZ87:AZ87)</f>
        <v>0</v>
      </c>
      <c r="BA86" s="101"/>
      <c r="BB86" s="101"/>
      <c r="BC86" s="487"/>
      <c r="BD86" s="101"/>
      <c r="BE86" s="101">
        <f>SUM(BE87:BE87)</f>
        <v>0</v>
      </c>
      <c r="BF86" s="101"/>
      <c r="BG86" s="101"/>
      <c r="BH86" s="487"/>
      <c r="BI86" s="101"/>
      <c r="BJ86" s="101">
        <f>SUM(BJ87:BJ87)</f>
        <v>53426</v>
      </c>
      <c r="BK86" s="101"/>
      <c r="BL86" s="101"/>
      <c r="BM86" s="487"/>
      <c r="BN86" s="101"/>
      <c r="BO86" s="101">
        <f>SUM(BO87:BO87)</f>
        <v>119111</v>
      </c>
      <c r="BP86" s="101"/>
      <c r="BQ86" s="101"/>
      <c r="BR86" s="487"/>
      <c r="BS86" s="388"/>
      <c r="BT86" s="101">
        <f>SUM(BT87:BT87)</f>
        <v>172537</v>
      </c>
      <c r="BU86" s="101"/>
      <c r="BV86" s="101"/>
      <c r="BW86" s="398"/>
      <c r="BX86" s="411"/>
      <c r="BY86" s="411"/>
    </row>
    <row r="87" spans="1:77" ht="12.75" x14ac:dyDescent="0.2">
      <c r="A87" s="388"/>
      <c r="B87" s="388"/>
      <c r="D87" s="398" t="s">
        <v>373</v>
      </c>
      <c r="E87" s="404"/>
      <c r="F87" s="490"/>
      <c r="G87" s="491">
        <v>0</v>
      </c>
      <c r="H87" s="492"/>
      <c r="I87" s="101"/>
      <c r="J87" s="487"/>
      <c r="K87" s="490"/>
      <c r="L87" s="491">
        <v>0</v>
      </c>
      <c r="M87" s="492"/>
      <c r="N87" s="101"/>
      <c r="O87" s="487"/>
      <c r="P87" s="493"/>
      <c r="Q87" s="491">
        <v>0</v>
      </c>
      <c r="R87" s="492"/>
      <c r="S87" s="101"/>
      <c r="T87" s="487"/>
      <c r="U87" s="493"/>
      <c r="V87" s="491">
        <v>0</v>
      </c>
      <c r="W87" s="492"/>
      <c r="X87" s="101"/>
      <c r="Y87" s="487"/>
      <c r="Z87" s="493"/>
      <c r="AA87" s="491">
        <v>0</v>
      </c>
      <c r="AB87" s="492"/>
      <c r="AC87" s="101"/>
      <c r="AD87" s="487"/>
      <c r="AE87" s="493"/>
      <c r="AF87" s="491">
        <v>0</v>
      </c>
      <c r="AG87" s="492"/>
      <c r="AH87" s="101"/>
      <c r="AI87" s="487"/>
      <c r="AJ87" s="493"/>
      <c r="AK87" s="491">
        <v>0</v>
      </c>
      <c r="AL87" s="492"/>
      <c r="AM87" s="101"/>
      <c r="AN87" s="487"/>
      <c r="AO87" s="493"/>
      <c r="AP87" s="491">
        <v>0</v>
      </c>
      <c r="AQ87" s="492"/>
      <c r="AR87" s="101"/>
      <c r="AS87" s="487"/>
      <c r="AT87" s="493"/>
      <c r="AU87" s="491">
        <v>0</v>
      </c>
      <c r="AV87" s="492"/>
      <c r="AW87" s="101"/>
      <c r="AX87" s="487"/>
      <c r="AY87" s="493"/>
      <c r="AZ87" s="491">
        <v>0</v>
      </c>
      <c r="BA87" s="492"/>
      <c r="BB87" s="101"/>
      <c r="BC87" s="487"/>
      <c r="BD87" s="493"/>
      <c r="BE87" s="491">
        <v>0</v>
      </c>
      <c r="BF87" s="492"/>
      <c r="BG87" s="101"/>
      <c r="BH87" s="487"/>
      <c r="BI87" s="493"/>
      <c r="BJ87" s="491">
        <v>53426</v>
      </c>
      <c r="BK87" s="492"/>
      <c r="BL87" s="101"/>
      <c r="BM87" s="487"/>
      <c r="BN87" s="493"/>
      <c r="BO87" s="491">
        <v>119111</v>
      </c>
      <c r="BP87" s="492"/>
      <c r="BQ87" s="101"/>
      <c r="BR87" s="487"/>
      <c r="BS87" s="493"/>
      <c r="BT87" s="491">
        <f>SUM(L87:BO87)</f>
        <v>172537</v>
      </c>
      <c r="BU87" s="492"/>
      <c r="BV87" s="101"/>
      <c r="BW87" s="398"/>
      <c r="BX87" s="411"/>
      <c r="BY87" s="411"/>
    </row>
    <row r="88" spans="1:77" ht="12.75" hidden="1" x14ac:dyDescent="0.2">
      <c r="A88" s="388"/>
      <c r="B88" s="388"/>
      <c r="D88" s="398"/>
      <c r="E88" s="404"/>
      <c r="F88" s="388"/>
      <c r="G88" s="101"/>
      <c r="H88" s="101"/>
      <c r="I88" s="101"/>
      <c r="J88" s="487"/>
      <c r="K88" s="101"/>
      <c r="L88" s="101"/>
      <c r="M88" s="101"/>
      <c r="N88" s="101"/>
      <c r="O88" s="487"/>
      <c r="P88" s="101"/>
      <c r="Q88" s="101"/>
      <c r="R88" s="101"/>
      <c r="S88" s="101"/>
      <c r="T88" s="487"/>
      <c r="U88" s="101"/>
      <c r="V88" s="101"/>
      <c r="W88" s="101"/>
      <c r="X88" s="101"/>
      <c r="Y88" s="487"/>
      <c r="Z88" s="101"/>
      <c r="AA88" s="101"/>
      <c r="AB88" s="101"/>
      <c r="AC88" s="101"/>
      <c r="AD88" s="487"/>
      <c r="AE88" s="101"/>
      <c r="AF88" s="101"/>
      <c r="AG88" s="101"/>
      <c r="AH88" s="101"/>
      <c r="AI88" s="487"/>
      <c r="AJ88" s="101"/>
      <c r="AK88" s="101"/>
      <c r="AL88" s="101"/>
      <c r="AM88" s="101"/>
      <c r="AN88" s="487"/>
      <c r="AO88" s="101"/>
      <c r="AP88" s="101"/>
      <c r="AQ88" s="101"/>
      <c r="AR88" s="101"/>
      <c r="AS88" s="487"/>
      <c r="AT88" s="101"/>
      <c r="AU88" s="101"/>
      <c r="AV88" s="101"/>
      <c r="AW88" s="101"/>
      <c r="AX88" s="487"/>
      <c r="AY88" s="101"/>
      <c r="AZ88" s="101"/>
      <c r="BA88" s="101"/>
      <c r="BB88" s="101"/>
      <c r="BC88" s="487"/>
      <c r="BD88" s="101"/>
      <c r="BE88" s="101"/>
      <c r="BF88" s="101"/>
      <c r="BG88" s="101"/>
      <c r="BH88" s="487"/>
      <c r="BI88" s="101"/>
      <c r="BJ88" s="101"/>
      <c r="BK88" s="101"/>
      <c r="BL88" s="101"/>
      <c r="BM88" s="487"/>
      <c r="BN88" s="101"/>
      <c r="BO88" s="101"/>
      <c r="BP88" s="101"/>
      <c r="BQ88" s="101"/>
      <c r="BR88" s="487"/>
      <c r="BS88" s="101"/>
      <c r="BT88" s="101"/>
      <c r="BU88" s="101"/>
      <c r="BV88" s="101"/>
      <c r="BW88" s="398"/>
      <c r="BX88" s="411"/>
      <c r="BY88" s="411"/>
    </row>
    <row r="89" spans="1:77" ht="12.75" hidden="1" x14ac:dyDescent="0.2">
      <c r="A89" s="388"/>
      <c r="B89" s="388"/>
      <c r="D89" s="398" t="str">
        <f>[39]domlongtermissues!D310:D310</f>
        <v xml:space="preserve">  R2037  (8.50%  2037/01/31)</v>
      </c>
      <c r="E89" s="404"/>
      <c r="F89" s="388"/>
      <c r="G89" s="101">
        <f>SUM(G90:G90)</f>
        <v>0</v>
      </c>
      <c r="H89" s="101"/>
      <c r="I89" s="101"/>
      <c r="J89" s="487"/>
      <c r="K89" s="101"/>
      <c r="L89" s="101">
        <f>SUM(L90:L90)</f>
        <v>0</v>
      </c>
      <c r="M89" s="101"/>
      <c r="N89" s="101"/>
      <c r="O89" s="487"/>
      <c r="P89" s="101"/>
      <c r="Q89" s="101">
        <f>SUM(Q90:Q90)</f>
        <v>0</v>
      </c>
      <c r="R89" s="101"/>
      <c r="S89" s="101"/>
      <c r="T89" s="487"/>
      <c r="U89" s="101"/>
      <c r="V89" s="101">
        <f>SUM(V90:V90)</f>
        <v>0</v>
      </c>
      <c r="W89" s="101"/>
      <c r="X89" s="101"/>
      <c r="Y89" s="487"/>
      <c r="Z89" s="101"/>
      <c r="AA89" s="101">
        <f>SUM(AA90:AA90)</f>
        <v>0</v>
      </c>
      <c r="AB89" s="101"/>
      <c r="AC89" s="101"/>
      <c r="AD89" s="487"/>
      <c r="AE89" s="101"/>
      <c r="AF89" s="101">
        <f>SUM(AF90:AF90)</f>
        <v>0</v>
      </c>
      <c r="AG89" s="101"/>
      <c r="AH89" s="101"/>
      <c r="AI89" s="487"/>
      <c r="AJ89" s="101"/>
      <c r="AK89" s="101">
        <f>SUM(AK90:AK90)</f>
        <v>0</v>
      </c>
      <c r="AL89" s="101"/>
      <c r="AM89" s="101"/>
      <c r="AN89" s="487"/>
      <c r="AO89" s="101"/>
      <c r="AP89" s="101">
        <f>SUM(AP90:AP90)</f>
        <v>0</v>
      </c>
      <c r="AQ89" s="101"/>
      <c r="AR89" s="101"/>
      <c r="AS89" s="487"/>
      <c r="AT89" s="101"/>
      <c r="AU89" s="101">
        <f>SUM(AU90:AU90)</f>
        <v>0</v>
      </c>
      <c r="AV89" s="101"/>
      <c r="AW89" s="101"/>
      <c r="AX89" s="487"/>
      <c r="AY89" s="101"/>
      <c r="AZ89" s="101">
        <f>SUM(AZ90:AZ90)</f>
        <v>0</v>
      </c>
      <c r="BA89" s="101"/>
      <c r="BB89" s="101"/>
      <c r="BC89" s="487"/>
      <c r="BD89" s="101"/>
      <c r="BE89" s="101">
        <f>SUM(BE90:BE90)</f>
        <v>0</v>
      </c>
      <c r="BF89" s="101"/>
      <c r="BG89" s="101"/>
      <c r="BH89" s="487"/>
      <c r="BI89" s="101"/>
      <c r="BJ89" s="101">
        <f>SUM(BJ90:BJ90)</f>
        <v>0</v>
      </c>
      <c r="BK89" s="101"/>
      <c r="BL89" s="101"/>
      <c r="BM89" s="487"/>
      <c r="BN89" s="101"/>
      <c r="BO89" s="101">
        <f>SUM(BO90:BO90)</f>
        <v>0</v>
      </c>
      <c r="BP89" s="101"/>
      <c r="BQ89" s="101"/>
      <c r="BR89" s="487"/>
      <c r="BS89" s="101"/>
      <c r="BT89" s="101">
        <f>SUM(BT90:BT90)</f>
        <v>0</v>
      </c>
      <c r="BU89" s="101"/>
      <c r="BV89" s="101"/>
      <c r="BW89" s="398"/>
      <c r="BX89" s="411"/>
      <c r="BY89" s="411"/>
    </row>
    <row r="90" spans="1:77" ht="12.75" hidden="1" x14ac:dyDescent="0.2">
      <c r="A90" s="388"/>
      <c r="B90" s="388"/>
      <c r="D90" s="398" t="s">
        <v>373</v>
      </c>
      <c r="E90" s="404"/>
      <c r="F90" s="490"/>
      <c r="G90" s="491">
        <v>0</v>
      </c>
      <c r="H90" s="492"/>
      <c r="I90" s="101"/>
      <c r="J90" s="487"/>
      <c r="K90" s="493"/>
      <c r="L90" s="491">
        <v>0</v>
      </c>
      <c r="M90" s="492"/>
      <c r="N90" s="101"/>
      <c r="O90" s="487"/>
      <c r="P90" s="493"/>
      <c r="Q90" s="491">
        <v>0</v>
      </c>
      <c r="R90" s="492"/>
      <c r="S90" s="101"/>
      <c r="T90" s="487"/>
      <c r="U90" s="493"/>
      <c r="V90" s="491">
        <v>0</v>
      </c>
      <c r="W90" s="492"/>
      <c r="X90" s="101"/>
      <c r="Y90" s="487"/>
      <c r="Z90" s="493"/>
      <c r="AA90" s="491">
        <v>0</v>
      </c>
      <c r="AB90" s="492"/>
      <c r="AC90" s="101"/>
      <c r="AD90" s="487"/>
      <c r="AE90" s="493"/>
      <c r="AF90" s="491">
        <v>0</v>
      </c>
      <c r="AG90" s="492"/>
      <c r="AH90" s="101"/>
      <c r="AI90" s="487"/>
      <c r="AJ90" s="493"/>
      <c r="AK90" s="491">
        <v>0</v>
      </c>
      <c r="AL90" s="492"/>
      <c r="AM90" s="101"/>
      <c r="AN90" s="487"/>
      <c r="AO90" s="493"/>
      <c r="AP90" s="491">
        <v>0</v>
      </c>
      <c r="AQ90" s="492"/>
      <c r="AR90" s="101"/>
      <c r="AS90" s="487"/>
      <c r="AT90" s="493"/>
      <c r="AU90" s="491">
        <v>0</v>
      </c>
      <c r="AV90" s="492"/>
      <c r="AW90" s="101"/>
      <c r="AX90" s="487"/>
      <c r="AY90" s="493"/>
      <c r="AZ90" s="491">
        <v>0</v>
      </c>
      <c r="BA90" s="492"/>
      <c r="BB90" s="101"/>
      <c r="BC90" s="487"/>
      <c r="BD90" s="493"/>
      <c r="BE90" s="491">
        <v>0</v>
      </c>
      <c r="BF90" s="492"/>
      <c r="BG90" s="101"/>
      <c r="BH90" s="487"/>
      <c r="BI90" s="493"/>
      <c r="BJ90" s="491">
        <v>0</v>
      </c>
      <c r="BK90" s="492"/>
      <c r="BL90" s="101"/>
      <c r="BM90" s="487"/>
      <c r="BN90" s="493"/>
      <c r="BO90" s="491">
        <v>0</v>
      </c>
      <c r="BP90" s="492"/>
      <c r="BQ90" s="101"/>
      <c r="BR90" s="487"/>
      <c r="BS90" s="493"/>
      <c r="BT90" s="491">
        <f>SUM(L90:BO90)</f>
        <v>0</v>
      </c>
      <c r="BU90" s="492"/>
      <c r="BV90" s="101"/>
      <c r="BW90" s="398"/>
      <c r="BX90" s="411"/>
      <c r="BY90" s="411"/>
    </row>
    <row r="91" spans="1:77" ht="12.75" x14ac:dyDescent="0.2">
      <c r="A91" s="388"/>
      <c r="B91" s="388"/>
      <c r="D91" s="398"/>
      <c r="E91" s="404"/>
      <c r="F91" s="388"/>
      <c r="G91" s="101"/>
      <c r="H91" s="101"/>
      <c r="I91" s="101"/>
      <c r="J91" s="487"/>
      <c r="K91" s="101"/>
      <c r="L91" s="101"/>
      <c r="M91" s="101"/>
      <c r="N91" s="101"/>
      <c r="O91" s="487"/>
      <c r="P91" s="101"/>
      <c r="Q91" s="101"/>
      <c r="R91" s="101"/>
      <c r="S91" s="101"/>
      <c r="T91" s="487"/>
      <c r="U91" s="101"/>
      <c r="V91" s="101"/>
      <c r="W91" s="101"/>
      <c r="X91" s="101"/>
      <c r="Y91" s="487"/>
      <c r="Z91" s="101"/>
      <c r="AA91" s="101"/>
      <c r="AB91" s="101"/>
      <c r="AC91" s="101"/>
      <c r="AD91" s="487"/>
      <c r="AE91" s="101"/>
      <c r="AF91" s="101"/>
      <c r="AG91" s="101"/>
      <c r="AH91" s="101"/>
      <c r="AI91" s="487"/>
      <c r="AJ91" s="101"/>
      <c r="AK91" s="101"/>
      <c r="AL91" s="101"/>
      <c r="AM91" s="101"/>
      <c r="AN91" s="487"/>
      <c r="AO91" s="101"/>
      <c r="AP91" s="101"/>
      <c r="AQ91" s="101"/>
      <c r="AR91" s="101"/>
      <c r="AS91" s="487"/>
      <c r="AT91" s="101"/>
      <c r="AU91" s="101"/>
      <c r="AV91" s="101"/>
      <c r="AW91" s="101"/>
      <c r="AX91" s="487"/>
      <c r="AY91" s="101"/>
      <c r="AZ91" s="101"/>
      <c r="BA91" s="101"/>
      <c r="BB91" s="101"/>
      <c r="BC91" s="487"/>
      <c r="BD91" s="101"/>
      <c r="BE91" s="101"/>
      <c r="BF91" s="101"/>
      <c r="BG91" s="101"/>
      <c r="BH91" s="487"/>
      <c r="BI91" s="101"/>
      <c r="BJ91" s="101"/>
      <c r="BK91" s="101"/>
      <c r="BL91" s="101"/>
      <c r="BM91" s="487"/>
      <c r="BN91" s="101"/>
      <c r="BO91" s="101"/>
      <c r="BP91" s="101"/>
      <c r="BQ91" s="101"/>
      <c r="BR91" s="487"/>
      <c r="BS91" s="101"/>
      <c r="BT91" s="101"/>
      <c r="BU91" s="101"/>
      <c r="BV91" s="101"/>
      <c r="BW91" s="398"/>
      <c r="BX91" s="411"/>
      <c r="BY91" s="411"/>
    </row>
    <row r="92" spans="1:77" ht="12.75" x14ac:dyDescent="0.2">
      <c r="A92" s="388"/>
      <c r="B92" s="388"/>
      <c r="D92" s="398" t="str">
        <f>[39]domlongtermissues!D307</f>
        <v xml:space="preserve">  R210 (2.60%  2028/03/31)</v>
      </c>
      <c r="E92" s="404"/>
      <c r="F92" s="388"/>
      <c r="G92" s="101">
        <f>SUM(G93:G93)</f>
        <v>0</v>
      </c>
      <c r="H92" s="101"/>
      <c r="I92" s="101"/>
      <c r="J92" s="487"/>
      <c r="K92" s="101"/>
      <c r="L92" s="101">
        <f>SUM(L93:L93)</f>
        <v>0</v>
      </c>
      <c r="M92" s="101"/>
      <c r="N92" s="101"/>
      <c r="O92" s="487"/>
      <c r="P92" s="101"/>
      <c r="Q92" s="101">
        <f>SUM(Q93:Q93)</f>
        <v>0</v>
      </c>
      <c r="R92" s="101"/>
      <c r="S92" s="101"/>
      <c r="T92" s="487"/>
      <c r="U92" s="101"/>
      <c r="V92" s="101">
        <f>SUM(V93:V93)</f>
        <v>0</v>
      </c>
      <c r="W92" s="101"/>
      <c r="X92" s="101"/>
      <c r="Y92" s="487"/>
      <c r="Z92" s="101"/>
      <c r="AA92" s="101">
        <f>SUM(AA93:AA93)</f>
        <v>0</v>
      </c>
      <c r="AB92" s="101"/>
      <c r="AC92" s="101"/>
      <c r="AD92" s="487"/>
      <c r="AE92" s="101"/>
      <c r="AF92" s="101">
        <f>SUM(AF93:AF93)</f>
        <v>0</v>
      </c>
      <c r="AG92" s="101"/>
      <c r="AH92" s="101"/>
      <c r="AI92" s="487"/>
      <c r="AJ92" s="101"/>
      <c r="AK92" s="101">
        <f>SUM(AK93:AK93)</f>
        <v>0</v>
      </c>
      <c r="AL92" s="101"/>
      <c r="AM92" s="101"/>
      <c r="AN92" s="487"/>
      <c r="AO92" s="101"/>
      <c r="AP92" s="101">
        <f>SUM(AP93:AP93)</f>
        <v>0</v>
      </c>
      <c r="AQ92" s="101"/>
      <c r="AR92" s="101"/>
      <c r="AS92" s="487"/>
      <c r="AT92" s="101"/>
      <c r="AU92" s="101">
        <f>SUM(AU93:AU93)</f>
        <v>0</v>
      </c>
      <c r="AV92" s="101"/>
      <c r="AW92" s="101"/>
      <c r="AX92" s="487"/>
      <c r="AY92" s="101"/>
      <c r="AZ92" s="101">
        <f>SUM(AZ93:AZ93)</f>
        <v>0</v>
      </c>
      <c r="BA92" s="101"/>
      <c r="BB92" s="101"/>
      <c r="BC92" s="487"/>
      <c r="BD92" s="101"/>
      <c r="BE92" s="101">
        <f>SUM(BE93:BE93)</f>
        <v>0</v>
      </c>
      <c r="BF92" s="101"/>
      <c r="BG92" s="101"/>
      <c r="BH92" s="487"/>
      <c r="BI92" s="101"/>
      <c r="BJ92" s="101">
        <f>SUM(BJ93:BJ93)</f>
        <v>0</v>
      </c>
      <c r="BK92" s="101"/>
      <c r="BL92" s="101"/>
      <c r="BM92" s="487"/>
      <c r="BN92" s="101"/>
      <c r="BO92" s="101">
        <f>SUM(BO93:BO93)</f>
        <v>1018643</v>
      </c>
      <c r="BP92" s="101"/>
      <c r="BQ92" s="101"/>
      <c r="BR92" s="487"/>
      <c r="BS92" s="101"/>
      <c r="BT92" s="101">
        <f>SUM(BT93:BT93)</f>
        <v>1018643</v>
      </c>
      <c r="BU92" s="101"/>
      <c r="BV92" s="101"/>
      <c r="BW92" s="398"/>
      <c r="BX92" s="411"/>
      <c r="BY92" s="411"/>
    </row>
    <row r="93" spans="1:77" ht="12.75" x14ac:dyDescent="0.2">
      <c r="A93" s="388"/>
      <c r="B93" s="388"/>
      <c r="D93" s="398" t="s">
        <v>373</v>
      </c>
      <c r="E93" s="404"/>
      <c r="F93" s="490"/>
      <c r="G93" s="491">
        <v>0</v>
      </c>
      <c r="H93" s="492"/>
      <c r="I93" s="101"/>
      <c r="J93" s="487"/>
      <c r="K93" s="493"/>
      <c r="L93" s="491">
        <v>0</v>
      </c>
      <c r="M93" s="492"/>
      <c r="N93" s="101"/>
      <c r="O93" s="487"/>
      <c r="P93" s="493"/>
      <c r="Q93" s="491">
        <v>0</v>
      </c>
      <c r="R93" s="492"/>
      <c r="S93" s="101"/>
      <c r="T93" s="487"/>
      <c r="U93" s="493"/>
      <c r="V93" s="491">
        <v>0</v>
      </c>
      <c r="W93" s="492"/>
      <c r="X93" s="101"/>
      <c r="Y93" s="487"/>
      <c r="Z93" s="493"/>
      <c r="AA93" s="491">
        <v>0</v>
      </c>
      <c r="AB93" s="492"/>
      <c r="AC93" s="101"/>
      <c r="AD93" s="487"/>
      <c r="AE93" s="493"/>
      <c r="AF93" s="491">
        <v>0</v>
      </c>
      <c r="AG93" s="492"/>
      <c r="AH93" s="101"/>
      <c r="AI93" s="487"/>
      <c r="AJ93" s="493"/>
      <c r="AK93" s="491">
        <v>0</v>
      </c>
      <c r="AL93" s="492"/>
      <c r="AM93" s="101"/>
      <c r="AN93" s="487"/>
      <c r="AO93" s="493"/>
      <c r="AP93" s="491">
        <v>0</v>
      </c>
      <c r="AQ93" s="492"/>
      <c r="AR93" s="101"/>
      <c r="AS93" s="487"/>
      <c r="AT93" s="493"/>
      <c r="AU93" s="491">
        <v>0</v>
      </c>
      <c r="AV93" s="492"/>
      <c r="AW93" s="101"/>
      <c r="AX93" s="487"/>
      <c r="AY93" s="493"/>
      <c r="AZ93" s="491">
        <v>0</v>
      </c>
      <c r="BA93" s="492"/>
      <c r="BB93" s="101"/>
      <c r="BC93" s="487"/>
      <c r="BD93" s="493"/>
      <c r="BE93" s="491">
        <v>0</v>
      </c>
      <c r="BF93" s="492"/>
      <c r="BG93" s="101"/>
      <c r="BH93" s="487"/>
      <c r="BI93" s="493"/>
      <c r="BJ93" s="491">
        <v>0</v>
      </c>
      <c r="BK93" s="492"/>
      <c r="BL93" s="101"/>
      <c r="BM93" s="487"/>
      <c r="BN93" s="493"/>
      <c r="BO93" s="491">
        <v>1018643</v>
      </c>
      <c r="BP93" s="492"/>
      <c r="BQ93" s="101"/>
      <c r="BR93" s="487"/>
      <c r="BS93" s="493"/>
      <c r="BT93" s="491">
        <f>SUM(L93:BO93)</f>
        <v>1018643</v>
      </c>
      <c r="BU93" s="492"/>
      <c r="BV93" s="101"/>
      <c r="BW93" s="398"/>
      <c r="BX93" s="411"/>
      <c r="BY93" s="411"/>
    </row>
    <row r="94" spans="1:77" ht="12.75" hidden="1" x14ac:dyDescent="0.2">
      <c r="A94" s="388"/>
      <c r="B94" s="388"/>
      <c r="D94" s="398"/>
      <c r="E94" s="404"/>
      <c r="F94" s="388"/>
      <c r="G94" s="101"/>
      <c r="H94" s="101"/>
      <c r="I94" s="101"/>
      <c r="J94" s="487"/>
      <c r="K94" s="101"/>
      <c r="L94" s="101"/>
      <c r="M94" s="101"/>
      <c r="N94" s="101"/>
      <c r="O94" s="487"/>
      <c r="P94" s="101"/>
      <c r="Q94" s="101"/>
      <c r="R94" s="101"/>
      <c r="S94" s="101"/>
      <c r="T94" s="487"/>
      <c r="U94" s="101"/>
      <c r="V94" s="101"/>
      <c r="W94" s="101"/>
      <c r="X94" s="101"/>
      <c r="Y94" s="487"/>
      <c r="Z94" s="101"/>
      <c r="AA94" s="101"/>
      <c r="AB94" s="101"/>
      <c r="AC94" s="101"/>
      <c r="AD94" s="487"/>
      <c r="AE94" s="101"/>
      <c r="AF94" s="101"/>
      <c r="AG94" s="101"/>
      <c r="AH94" s="101"/>
      <c r="AI94" s="487"/>
      <c r="AJ94" s="101"/>
      <c r="AK94" s="101"/>
      <c r="AL94" s="101"/>
      <c r="AM94" s="101"/>
      <c r="AN94" s="487"/>
      <c r="AO94" s="101"/>
      <c r="AP94" s="101"/>
      <c r="AQ94" s="101"/>
      <c r="AR94" s="101"/>
      <c r="AS94" s="487"/>
      <c r="AT94" s="101"/>
      <c r="AU94" s="101"/>
      <c r="AV94" s="101"/>
      <c r="AW94" s="101"/>
      <c r="AX94" s="487"/>
      <c r="AY94" s="101"/>
      <c r="AZ94" s="101"/>
      <c r="BA94" s="101"/>
      <c r="BB94" s="101"/>
      <c r="BC94" s="487"/>
      <c r="BD94" s="101"/>
      <c r="BE94" s="101"/>
      <c r="BF94" s="101"/>
      <c r="BG94" s="101"/>
      <c r="BH94" s="487"/>
      <c r="BI94" s="101"/>
      <c r="BJ94" s="101"/>
      <c r="BK94" s="101"/>
      <c r="BL94" s="101"/>
      <c r="BM94" s="487"/>
      <c r="BN94" s="101"/>
      <c r="BO94" s="101"/>
      <c r="BP94" s="101"/>
      <c r="BQ94" s="101"/>
      <c r="BR94" s="487"/>
      <c r="BS94" s="101"/>
      <c r="BT94" s="101"/>
      <c r="BU94" s="101"/>
      <c r="BV94" s="101"/>
      <c r="BW94" s="398"/>
      <c r="BX94" s="411"/>
      <c r="BY94" s="411"/>
    </row>
    <row r="95" spans="1:77" ht="12.75" hidden="1" customHeight="1" x14ac:dyDescent="0.2">
      <c r="A95" s="388"/>
      <c r="B95" s="388"/>
      <c r="D95" s="495" t="s">
        <v>438</v>
      </c>
      <c r="E95" s="404"/>
      <c r="F95" s="388"/>
      <c r="G95" s="101">
        <f>SUM(G96:G96)</f>
        <v>0</v>
      </c>
      <c r="H95" s="482"/>
      <c r="I95" s="482"/>
      <c r="J95" s="483"/>
      <c r="K95" s="482"/>
      <c r="L95" s="101">
        <f>SUM(L96:L96)</f>
        <v>0</v>
      </c>
      <c r="M95" s="101"/>
      <c r="N95" s="101"/>
      <c r="O95" s="487"/>
      <c r="P95" s="101"/>
      <c r="Q95" s="101">
        <f>SUM(Q96:Q96)</f>
        <v>0</v>
      </c>
      <c r="R95" s="101"/>
      <c r="S95" s="101"/>
      <c r="T95" s="487"/>
      <c r="U95" s="101"/>
      <c r="V95" s="101">
        <f>SUM(V96:V96)</f>
        <v>0</v>
      </c>
      <c r="W95" s="101"/>
      <c r="X95" s="101"/>
      <c r="Y95" s="487"/>
      <c r="Z95" s="101"/>
      <c r="AA95" s="101">
        <f>SUM(AA96:AA96)</f>
        <v>0</v>
      </c>
      <c r="AB95" s="101"/>
      <c r="AC95" s="101"/>
      <c r="AD95" s="487"/>
      <c r="AE95" s="101"/>
      <c r="AF95" s="101">
        <f>SUM(AF96:AF96)</f>
        <v>0</v>
      </c>
      <c r="AG95" s="101"/>
      <c r="AH95" s="101"/>
      <c r="AI95" s="487"/>
      <c r="AJ95" s="101"/>
      <c r="AK95" s="101">
        <f>SUM(AK96:AK96)</f>
        <v>0</v>
      </c>
      <c r="AL95" s="101"/>
      <c r="AM95" s="101"/>
      <c r="AN95" s="487"/>
      <c r="AO95" s="101"/>
      <c r="AP95" s="101">
        <f>SUM(AP96:AP96)</f>
        <v>0</v>
      </c>
      <c r="AQ95" s="101"/>
      <c r="AR95" s="101"/>
      <c r="AS95" s="487"/>
      <c r="AT95" s="101"/>
      <c r="AU95" s="101">
        <f>SUM(AU96:AU96)</f>
        <v>0</v>
      </c>
      <c r="AV95" s="101"/>
      <c r="AW95" s="101"/>
      <c r="AX95" s="487"/>
      <c r="AY95" s="101"/>
      <c r="AZ95" s="101">
        <f>SUM(AZ96:AZ96)</f>
        <v>0</v>
      </c>
      <c r="BA95" s="101"/>
      <c r="BB95" s="101"/>
      <c r="BC95" s="487"/>
      <c r="BD95" s="101"/>
      <c r="BE95" s="101">
        <f>SUM(BE96:BE96)</f>
        <v>0</v>
      </c>
      <c r="BF95" s="101"/>
      <c r="BG95" s="101"/>
      <c r="BH95" s="487"/>
      <c r="BI95" s="101"/>
      <c r="BJ95" s="101">
        <f>SUM(BJ96:BJ96)</f>
        <v>0</v>
      </c>
      <c r="BK95" s="101"/>
      <c r="BL95" s="101"/>
      <c r="BM95" s="487"/>
      <c r="BN95" s="101"/>
      <c r="BO95" s="101">
        <f>SUM(BO96:BO96)</f>
        <v>0</v>
      </c>
      <c r="BP95" s="101"/>
      <c r="BQ95" s="101"/>
      <c r="BR95" s="487"/>
      <c r="BS95" s="101"/>
      <c r="BT95" s="101">
        <f>SUM(BT96:BT96)</f>
        <v>0</v>
      </c>
      <c r="BU95" s="101"/>
      <c r="BV95" s="101"/>
      <c r="BW95" s="398"/>
      <c r="BX95" s="411"/>
      <c r="BY95" s="411"/>
    </row>
    <row r="96" spans="1:77" ht="12.75" hidden="1" customHeight="1" x14ac:dyDescent="0.2">
      <c r="A96" s="388"/>
      <c r="B96" s="388"/>
      <c r="D96" s="398" t="s">
        <v>373</v>
      </c>
      <c r="E96" s="404"/>
      <c r="F96" s="490"/>
      <c r="G96" s="491">
        <v>0</v>
      </c>
      <c r="H96" s="492"/>
      <c r="I96" s="101"/>
      <c r="J96" s="487"/>
      <c r="K96" s="493"/>
      <c r="L96" s="491">
        <v>0</v>
      </c>
      <c r="M96" s="492"/>
      <c r="N96" s="101"/>
      <c r="O96" s="487"/>
      <c r="P96" s="493"/>
      <c r="Q96" s="491">
        <v>0</v>
      </c>
      <c r="R96" s="492"/>
      <c r="S96" s="101"/>
      <c r="T96" s="487"/>
      <c r="U96" s="493"/>
      <c r="V96" s="491">
        <v>0</v>
      </c>
      <c r="W96" s="492"/>
      <c r="X96" s="101"/>
      <c r="Y96" s="487"/>
      <c r="Z96" s="493"/>
      <c r="AA96" s="491">
        <v>0</v>
      </c>
      <c r="AB96" s="492"/>
      <c r="AC96" s="101"/>
      <c r="AD96" s="487"/>
      <c r="AE96" s="493"/>
      <c r="AF96" s="491">
        <v>0</v>
      </c>
      <c r="AG96" s="492"/>
      <c r="AH96" s="101"/>
      <c r="AI96" s="487"/>
      <c r="AJ96" s="493"/>
      <c r="AK96" s="491">
        <v>0</v>
      </c>
      <c r="AL96" s="492"/>
      <c r="AM96" s="101"/>
      <c r="AN96" s="487"/>
      <c r="AO96" s="493"/>
      <c r="AP96" s="491">
        <v>0</v>
      </c>
      <c r="AQ96" s="492"/>
      <c r="AR96" s="101"/>
      <c r="AS96" s="487"/>
      <c r="AT96" s="493"/>
      <c r="AU96" s="491">
        <v>0</v>
      </c>
      <c r="AV96" s="492"/>
      <c r="AW96" s="101"/>
      <c r="AX96" s="487"/>
      <c r="AY96" s="493"/>
      <c r="AZ96" s="491">
        <v>0</v>
      </c>
      <c r="BA96" s="492"/>
      <c r="BB96" s="101"/>
      <c r="BC96" s="487"/>
      <c r="BD96" s="493"/>
      <c r="BE96" s="491">
        <v>0</v>
      </c>
      <c r="BF96" s="492"/>
      <c r="BG96" s="101"/>
      <c r="BH96" s="487"/>
      <c r="BI96" s="493"/>
      <c r="BJ96" s="491">
        <v>0</v>
      </c>
      <c r="BK96" s="492"/>
      <c r="BL96" s="101"/>
      <c r="BM96" s="487"/>
      <c r="BN96" s="493"/>
      <c r="BO96" s="491">
        <v>0</v>
      </c>
      <c r="BP96" s="492"/>
      <c r="BQ96" s="101"/>
      <c r="BR96" s="487"/>
      <c r="BS96" s="493"/>
      <c r="BT96" s="491">
        <f>SUM(L96:BO96)</f>
        <v>0</v>
      </c>
      <c r="BU96" s="492"/>
      <c r="BV96" s="101"/>
      <c r="BW96" s="398"/>
      <c r="BX96" s="411"/>
      <c r="BY96" s="411"/>
    </row>
    <row r="97" spans="1:77" ht="12.75" customHeight="1" x14ac:dyDescent="0.2">
      <c r="A97" s="388"/>
      <c r="B97" s="388"/>
      <c r="D97" s="398"/>
      <c r="E97" s="404"/>
      <c r="F97" s="388"/>
      <c r="G97" s="101"/>
      <c r="H97" s="101"/>
      <c r="I97" s="101"/>
      <c r="J97" s="487"/>
      <c r="K97" s="101"/>
      <c r="L97" s="101"/>
      <c r="M97" s="101"/>
      <c r="N97" s="101"/>
      <c r="O97" s="487"/>
      <c r="P97" s="101"/>
      <c r="Q97" s="101"/>
      <c r="R97" s="101"/>
      <c r="S97" s="101"/>
      <c r="T97" s="487"/>
      <c r="U97" s="101"/>
      <c r="V97" s="101"/>
      <c r="W97" s="101"/>
      <c r="X97" s="101"/>
      <c r="Y97" s="487"/>
      <c r="Z97" s="101"/>
      <c r="AA97" s="101"/>
      <c r="AB97" s="101"/>
      <c r="AC97" s="101"/>
      <c r="AD97" s="487"/>
      <c r="AE97" s="101"/>
      <c r="AF97" s="101"/>
      <c r="AG97" s="101"/>
      <c r="AH97" s="101"/>
      <c r="AI97" s="487"/>
      <c r="AJ97" s="101"/>
      <c r="AK97" s="101"/>
      <c r="AL97" s="101"/>
      <c r="AM97" s="101"/>
      <c r="AN97" s="487"/>
      <c r="AO97" s="101"/>
      <c r="AP97" s="101"/>
      <c r="AQ97" s="101"/>
      <c r="AR97" s="101"/>
      <c r="AS97" s="487"/>
      <c r="AT97" s="101"/>
      <c r="AU97" s="101"/>
      <c r="AV97" s="101"/>
      <c r="AW97" s="101"/>
      <c r="AX97" s="487"/>
      <c r="AY97" s="101"/>
      <c r="AZ97" s="101"/>
      <c r="BA97" s="101"/>
      <c r="BB97" s="101"/>
      <c r="BC97" s="487"/>
      <c r="BD97" s="101"/>
      <c r="BE97" s="101"/>
      <c r="BF97" s="101"/>
      <c r="BG97" s="101"/>
      <c r="BH97" s="487"/>
      <c r="BI97" s="101"/>
      <c r="BJ97" s="101"/>
      <c r="BK97" s="101"/>
      <c r="BL97" s="101"/>
      <c r="BM97" s="487"/>
      <c r="BN97" s="101"/>
      <c r="BO97" s="101"/>
      <c r="BP97" s="101"/>
      <c r="BQ97" s="101"/>
      <c r="BR97" s="487"/>
      <c r="BS97" s="101"/>
      <c r="BT97" s="101"/>
      <c r="BU97" s="101"/>
      <c r="BV97" s="101"/>
      <c r="BW97" s="398"/>
      <c r="BX97" s="411"/>
      <c r="BY97" s="411"/>
    </row>
    <row r="98" spans="1:77" ht="12.75" customHeight="1" x14ac:dyDescent="0.2">
      <c r="A98" s="388"/>
      <c r="B98" s="388"/>
      <c r="D98" s="495" t="s">
        <v>437</v>
      </c>
      <c r="E98" s="404"/>
      <c r="F98" s="388"/>
      <c r="G98" s="101">
        <f>SUM(G99:G99)</f>
        <v>41191</v>
      </c>
      <c r="H98" s="101"/>
      <c r="I98" s="101"/>
      <c r="J98" s="487"/>
      <c r="K98" s="101"/>
      <c r="L98" s="101">
        <f>SUM(L99:L99)</f>
        <v>0</v>
      </c>
      <c r="M98" s="101"/>
      <c r="N98" s="101"/>
      <c r="O98" s="487"/>
      <c r="P98" s="101"/>
      <c r="Q98" s="101">
        <f>SUM(Q99:Q99)</f>
        <v>0</v>
      </c>
      <c r="R98" s="101"/>
      <c r="S98" s="101"/>
      <c r="T98" s="487"/>
      <c r="U98" s="101"/>
      <c r="V98" s="101">
        <f>SUM(V99:V99)</f>
        <v>0</v>
      </c>
      <c r="W98" s="101"/>
      <c r="X98" s="101"/>
      <c r="Y98" s="487"/>
      <c r="Z98" s="101"/>
      <c r="AA98" s="101">
        <f>SUM(AA99:AA99)</f>
        <v>0</v>
      </c>
      <c r="AB98" s="101"/>
      <c r="AC98" s="101"/>
      <c r="AD98" s="487"/>
      <c r="AE98" s="101"/>
      <c r="AF98" s="101">
        <f>SUM(AF99:AF99)</f>
        <v>41191</v>
      </c>
      <c r="AG98" s="101"/>
      <c r="AH98" s="101"/>
      <c r="AI98" s="487"/>
      <c r="AJ98" s="101"/>
      <c r="AK98" s="101">
        <f>SUM(AK99:AK99)</f>
        <v>0</v>
      </c>
      <c r="AL98" s="101"/>
      <c r="AM98" s="101"/>
      <c r="AN98" s="487"/>
      <c r="AO98" s="101"/>
      <c r="AP98" s="101">
        <f>SUM(AP99:AP99)</f>
        <v>0</v>
      </c>
      <c r="AQ98" s="101"/>
      <c r="AR98" s="101"/>
      <c r="AS98" s="487"/>
      <c r="AT98" s="101"/>
      <c r="AU98" s="101">
        <f>SUM(AU99:AU99)</f>
        <v>0</v>
      </c>
      <c r="AV98" s="101"/>
      <c r="AW98" s="101"/>
      <c r="AX98" s="487"/>
      <c r="AY98" s="101"/>
      <c r="AZ98" s="101">
        <f>SUM(AZ99:AZ99)</f>
        <v>0</v>
      </c>
      <c r="BA98" s="101"/>
      <c r="BB98" s="101"/>
      <c r="BC98" s="487"/>
      <c r="BD98" s="101"/>
      <c r="BE98" s="101">
        <f>SUM(BE99:BE99)</f>
        <v>0</v>
      </c>
      <c r="BF98" s="101"/>
      <c r="BG98" s="101"/>
      <c r="BH98" s="487"/>
      <c r="BI98" s="101"/>
      <c r="BJ98" s="101">
        <f>SUM(BJ99:BJ99)</f>
        <v>0</v>
      </c>
      <c r="BK98" s="101"/>
      <c r="BL98" s="101"/>
      <c r="BM98" s="487"/>
      <c r="BN98" s="101"/>
      <c r="BO98" s="101">
        <f>SUM(BO99:BO99)</f>
        <v>0</v>
      </c>
      <c r="BP98" s="101"/>
      <c r="BQ98" s="101"/>
      <c r="BR98" s="487"/>
      <c r="BS98" s="101"/>
      <c r="BT98" s="101">
        <f>SUM(BT99:BT99)</f>
        <v>41191</v>
      </c>
      <c r="BU98" s="101"/>
      <c r="BV98" s="101"/>
      <c r="BW98" s="398"/>
      <c r="BX98" s="411"/>
      <c r="BY98" s="411"/>
    </row>
    <row r="99" spans="1:77" ht="12.75" customHeight="1" x14ac:dyDescent="0.2">
      <c r="A99" s="388"/>
      <c r="B99" s="388"/>
      <c r="D99" s="398" t="s">
        <v>373</v>
      </c>
      <c r="E99" s="404"/>
      <c r="F99" s="490"/>
      <c r="G99" s="491">
        <v>41191</v>
      </c>
      <c r="H99" s="492"/>
      <c r="I99" s="101"/>
      <c r="J99" s="487"/>
      <c r="K99" s="493"/>
      <c r="L99" s="491">
        <v>0</v>
      </c>
      <c r="M99" s="492"/>
      <c r="N99" s="101"/>
      <c r="O99" s="487"/>
      <c r="P99" s="493"/>
      <c r="Q99" s="491">
        <v>0</v>
      </c>
      <c r="R99" s="492"/>
      <c r="S99" s="101"/>
      <c r="T99" s="487"/>
      <c r="U99" s="493"/>
      <c r="V99" s="491">
        <v>0</v>
      </c>
      <c r="W99" s="492"/>
      <c r="X99" s="101"/>
      <c r="Y99" s="487"/>
      <c r="Z99" s="493"/>
      <c r="AA99" s="491">
        <v>0</v>
      </c>
      <c r="AB99" s="492"/>
      <c r="AC99" s="101"/>
      <c r="AD99" s="487"/>
      <c r="AE99" s="493"/>
      <c r="AF99" s="491">
        <v>41191</v>
      </c>
      <c r="AG99" s="492"/>
      <c r="AH99" s="101"/>
      <c r="AI99" s="487"/>
      <c r="AJ99" s="493"/>
      <c r="AK99" s="491">
        <v>0</v>
      </c>
      <c r="AL99" s="492"/>
      <c r="AM99" s="101"/>
      <c r="AN99" s="487"/>
      <c r="AO99" s="493"/>
      <c r="AP99" s="491">
        <v>0</v>
      </c>
      <c r="AQ99" s="492"/>
      <c r="AR99" s="101"/>
      <c r="AS99" s="487"/>
      <c r="AT99" s="493"/>
      <c r="AU99" s="491">
        <v>0</v>
      </c>
      <c r="AV99" s="492"/>
      <c r="AW99" s="101"/>
      <c r="AX99" s="487"/>
      <c r="AY99" s="493"/>
      <c r="AZ99" s="491">
        <v>0</v>
      </c>
      <c r="BA99" s="492"/>
      <c r="BB99" s="101"/>
      <c r="BC99" s="487"/>
      <c r="BD99" s="493"/>
      <c r="BE99" s="491">
        <v>0</v>
      </c>
      <c r="BF99" s="492"/>
      <c r="BG99" s="101"/>
      <c r="BH99" s="487"/>
      <c r="BI99" s="493"/>
      <c r="BJ99" s="491">
        <v>0</v>
      </c>
      <c r="BK99" s="492"/>
      <c r="BL99" s="101"/>
      <c r="BM99" s="487"/>
      <c r="BN99" s="493"/>
      <c r="BO99" s="491">
        <v>0</v>
      </c>
      <c r="BP99" s="492"/>
      <c r="BQ99" s="101"/>
      <c r="BR99" s="487"/>
      <c r="BS99" s="493"/>
      <c r="BT99" s="491">
        <f>SUM(L99:BO99)</f>
        <v>41191</v>
      </c>
      <c r="BU99" s="492"/>
      <c r="BV99" s="101"/>
      <c r="BW99" s="398"/>
      <c r="BX99" s="411"/>
      <c r="BY99" s="411"/>
    </row>
    <row r="100" spans="1:77" ht="12.75" customHeight="1" x14ac:dyDescent="0.2">
      <c r="A100" s="388"/>
      <c r="B100" s="388"/>
      <c r="D100" s="398"/>
      <c r="E100" s="404"/>
      <c r="F100" s="388"/>
      <c r="G100" s="101"/>
      <c r="H100" s="101"/>
      <c r="I100" s="101"/>
      <c r="J100" s="487"/>
      <c r="K100" s="101"/>
      <c r="L100" s="101"/>
      <c r="M100" s="101"/>
      <c r="N100" s="101"/>
      <c r="O100" s="487"/>
      <c r="P100" s="101"/>
      <c r="Q100" s="101"/>
      <c r="R100" s="101"/>
      <c r="S100" s="101"/>
      <c r="T100" s="487"/>
      <c r="U100" s="101"/>
      <c r="V100" s="101"/>
      <c r="W100" s="101"/>
      <c r="X100" s="101"/>
      <c r="Y100" s="487"/>
      <c r="Z100" s="101"/>
      <c r="AA100" s="101"/>
      <c r="AB100" s="101"/>
      <c r="AC100" s="101"/>
      <c r="AD100" s="487"/>
      <c r="AE100" s="101"/>
      <c r="AF100" s="101"/>
      <c r="AG100" s="101"/>
      <c r="AH100" s="101"/>
      <c r="AI100" s="487"/>
      <c r="AJ100" s="101"/>
      <c r="AK100" s="101"/>
      <c r="AL100" s="101"/>
      <c r="AM100" s="101"/>
      <c r="AN100" s="487"/>
      <c r="AO100" s="101"/>
      <c r="AP100" s="101"/>
      <c r="AQ100" s="101"/>
      <c r="AR100" s="101"/>
      <c r="AS100" s="487"/>
      <c r="AT100" s="101"/>
      <c r="AU100" s="101"/>
      <c r="AV100" s="101"/>
      <c r="AW100" s="101"/>
      <c r="AX100" s="487"/>
      <c r="AY100" s="101"/>
      <c r="AZ100" s="101"/>
      <c r="BA100" s="101"/>
      <c r="BB100" s="101"/>
      <c r="BC100" s="487"/>
      <c r="BD100" s="101"/>
      <c r="BE100" s="101"/>
      <c r="BF100" s="101"/>
      <c r="BG100" s="101"/>
      <c r="BH100" s="487"/>
      <c r="BI100" s="101"/>
      <c r="BJ100" s="101"/>
      <c r="BK100" s="101"/>
      <c r="BL100" s="101"/>
      <c r="BM100" s="487"/>
      <c r="BN100" s="101"/>
      <c r="BO100" s="101"/>
      <c r="BP100" s="101"/>
      <c r="BQ100" s="101"/>
      <c r="BR100" s="487"/>
      <c r="BS100" s="101"/>
      <c r="BT100" s="101"/>
      <c r="BU100" s="101"/>
      <c r="BV100" s="101"/>
      <c r="BW100" s="398"/>
      <c r="BX100" s="411"/>
      <c r="BY100" s="411"/>
    </row>
    <row r="101" spans="1:77" ht="12.75" hidden="1" customHeight="1" x14ac:dyDescent="0.2">
      <c r="A101" s="388"/>
      <c r="B101" s="388"/>
      <c r="D101" s="495" t="s">
        <v>393</v>
      </c>
      <c r="E101" s="404"/>
      <c r="F101" s="388"/>
      <c r="G101" s="101">
        <f>SUM(G102:G102)</f>
        <v>0</v>
      </c>
      <c r="H101" s="101"/>
      <c r="I101" s="101"/>
      <c r="J101" s="487"/>
      <c r="K101" s="101"/>
      <c r="L101" s="101">
        <f>SUM(L102:L102)</f>
        <v>0</v>
      </c>
      <c r="M101" s="101"/>
      <c r="N101" s="101"/>
      <c r="O101" s="487"/>
      <c r="P101" s="101"/>
      <c r="Q101" s="101">
        <f>SUM(Q102:Q102)</f>
        <v>0</v>
      </c>
      <c r="R101" s="101"/>
      <c r="S101" s="101"/>
      <c r="T101" s="487"/>
      <c r="U101" s="101"/>
      <c r="V101" s="101">
        <f>SUM(V102:V102)</f>
        <v>0</v>
      </c>
      <c r="W101" s="101"/>
      <c r="X101" s="101"/>
      <c r="Y101" s="487"/>
      <c r="Z101" s="101"/>
      <c r="AA101" s="101">
        <f>SUM(AA102:AA102)</f>
        <v>0</v>
      </c>
      <c r="AB101" s="101"/>
      <c r="AC101" s="101"/>
      <c r="AD101" s="487"/>
      <c r="AE101" s="101"/>
      <c r="AF101" s="101">
        <f>SUM(AF102:AF102)</f>
        <v>0</v>
      </c>
      <c r="AG101" s="101"/>
      <c r="AH101" s="101"/>
      <c r="AI101" s="487"/>
      <c r="AJ101" s="101"/>
      <c r="AK101" s="101">
        <f>SUM(AK102:AK102)</f>
        <v>0</v>
      </c>
      <c r="AL101" s="101"/>
      <c r="AM101" s="101"/>
      <c r="AN101" s="487"/>
      <c r="AO101" s="101"/>
      <c r="AP101" s="101">
        <f>SUM(AP102:AP102)</f>
        <v>0</v>
      </c>
      <c r="AQ101" s="101"/>
      <c r="AR101" s="101"/>
      <c r="AS101" s="487"/>
      <c r="AT101" s="101"/>
      <c r="AU101" s="101">
        <f>SUM(AU102:AU102)</f>
        <v>0</v>
      </c>
      <c r="AV101" s="101"/>
      <c r="AW101" s="101"/>
      <c r="AX101" s="487"/>
      <c r="AY101" s="101"/>
      <c r="AZ101" s="101">
        <f>SUM(AZ102:AZ102)</f>
        <v>0</v>
      </c>
      <c r="BA101" s="101"/>
      <c r="BB101" s="101"/>
      <c r="BC101" s="487"/>
      <c r="BD101" s="101"/>
      <c r="BE101" s="101">
        <f>SUM(BE102:BE102)</f>
        <v>0</v>
      </c>
      <c r="BF101" s="101"/>
      <c r="BG101" s="101"/>
      <c r="BH101" s="487"/>
      <c r="BI101" s="101"/>
      <c r="BJ101" s="101">
        <f>SUM(BJ102:BJ102)</f>
        <v>0</v>
      </c>
      <c r="BK101" s="101"/>
      <c r="BL101" s="101"/>
      <c r="BM101" s="487"/>
      <c r="BN101" s="101"/>
      <c r="BO101" s="101">
        <f>SUM(BO102:BO102)</f>
        <v>0</v>
      </c>
      <c r="BP101" s="101"/>
      <c r="BQ101" s="101"/>
      <c r="BR101" s="487"/>
      <c r="BS101" s="101"/>
      <c r="BT101" s="101">
        <f>SUM(BT102:BT102)</f>
        <v>0</v>
      </c>
      <c r="BU101" s="101"/>
      <c r="BV101" s="101"/>
      <c r="BW101" s="398"/>
      <c r="BX101" s="411"/>
      <c r="BY101" s="411"/>
    </row>
    <row r="102" spans="1:77" ht="12.75" hidden="1" customHeight="1" x14ac:dyDescent="0.2">
      <c r="A102" s="388"/>
      <c r="B102" s="388"/>
      <c r="D102" s="398" t="s">
        <v>373</v>
      </c>
      <c r="E102" s="404"/>
      <c r="F102" s="490"/>
      <c r="G102" s="491">
        <v>0</v>
      </c>
      <c r="H102" s="492"/>
      <c r="I102" s="101"/>
      <c r="J102" s="487"/>
      <c r="K102" s="493"/>
      <c r="L102" s="491">
        <v>0</v>
      </c>
      <c r="M102" s="492"/>
      <c r="N102" s="101"/>
      <c r="O102" s="487"/>
      <c r="P102" s="493"/>
      <c r="Q102" s="491">
        <v>0</v>
      </c>
      <c r="R102" s="492"/>
      <c r="S102" s="101"/>
      <c r="T102" s="487"/>
      <c r="U102" s="493"/>
      <c r="V102" s="491">
        <v>0</v>
      </c>
      <c r="W102" s="492"/>
      <c r="X102" s="101"/>
      <c r="Y102" s="487"/>
      <c r="Z102" s="493"/>
      <c r="AA102" s="491">
        <v>0</v>
      </c>
      <c r="AB102" s="492"/>
      <c r="AC102" s="101"/>
      <c r="AD102" s="487"/>
      <c r="AE102" s="493"/>
      <c r="AF102" s="491">
        <v>0</v>
      </c>
      <c r="AG102" s="492"/>
      <c r="AH102" s="101"/>
      <c r="AI102" s="487"/>
      <c r="AJ102" s="493"/>
      <c r="AK102" s="491">
        <v>0</v>
      </c>
      <c r="AL102" s="492"/>
      <c r="AM102" s="101"/>
      <c r="AN102" s="487"/>
      <c r="AO102" s="493"/>
      <c r="AP102" s="491">
        <v>0</v>
      </c>
      <c r="AQ102" s="492"/>
      <c r="AR102" s="101"/>
      <c r="AS102" s="487"/>
      <c r="AT102" s="493"/>
      <c r="AU102" s="491">
        <v>0</v>
      </c>
      <c r="AV102" s="492"/>
      <c r="AW102" s="101"/>
      <c r="AX102" s="487"/>
      <c r="AY102" s="493"/>
      <c r="AZ102" s="491">
        <v>0</v>
      </c>
      <c r="BA102" s="492"/>
      <c r="BB102" s="101"/>
      <c r="BC102" s="487"/>
      <c r="BD102" s="493"/>
      <c r="BE102" s="491">
        <v>0</v>
      </c>
      <c r="BF102" s="492"/>
      <c r="BG102" s="101"/>
      <c r="BH102" s="487"/>
      <c r="BI102" s="493"/>
      <c r="BJ102" s="491">
        <v>0</v>
      </c>
      <c r="BK102" s="492"/>
      <c r="BL102" s="101"/>
      <c r="BM102" s="487"/>
      <c r="BN102" s="493"/>
      <c r="BO102" s="491">
        <v>0</v>
      </c>
      <c r="BP102" s="492"/>
      <c r="BQ102" s="101"/>
      <c r="BR102" s="487"/>
      <c r="BS102" s="493"/>
      <c r="BT102" s="491">
        <f>SUM(L102:BO102)</f>
        <v>0</v>
      </c>
      <c r="BU102" s="492"/>
      <c r="BV102" s="101"/>
      <c r="BW102" s="398"/>
      <c r="BX102" s="411"/>
      <c r="BY102" s="411"/>
    </row>
    <row r="103" spans="1:77" ht="12.75" hidden="1" customHeight="1" x14ac:dyDescent="0.2">
      <c r="A103" s="388"/>
      <c r="B103" s="388"/>
      <c r="D103" s="398"/>
      <c r="E103" s="404"/>
      <c r="F103" s="388"/>
      <c r="G103" s="101"/>
      <c r="H103" s="101"/>
      <c r="I103" s="101"/>
      <c r="J103" s="487"/>
      <c r="K103" s="101"/>
      <c r="L103" s="101"/>
      <c r="M103" s="101"/>
      <c r="N103" s="101"/>
      <c r="O103" s="487"/>
      <c r="P103" s="101"/>
      <c r="Q103" s="101"/>
      <c r="R103" s="101"/>
      <c r="S103" s="101"/>
      <c r="T103" s="487"/>
      <c r="U103" s="101"/>
      <c r="V103" s="101"/>
      <c r="W103" s="101"/>
      <c r="X103" s="101"/>
      <c r="Y103" s="487"/>
      <c r="Z103" s="101"/>
      <c r="AA103" s="101"/>
      <c r="AB103" s="101"/>
      <c r="AC103" s="101"/>
      <c r="AD103" s="487"/>
      <c r="AE103" s="101"/>
      <c r="AF103" s="101"/>
      <c r="AG103" s="101"/>
      <c r="AH103" s="101"/>
      <c r="AI103" s="487"/>
      <c r="AJ103" s="101"/>
      <c r="AK103" s="101"/>
      <c r="AL103" s="101"/>
      <c r="AM103" s="101"/>
      <c r="AN103" s="487"/>
      <c r="AO103" s="101"/>
      <c r="AP103" s="101"/>
      <c r="AQ103" s="101"/>
      <c r="AR103" s="101"/>
      <c r="AS103" s="487"/>
      <c r="AT103" s="101"/>
      <c r="AU103" s="101"/>
      <c r="AV103" s="101"/>
      <c r="AW103" s="101"/>
      <c r="AX103" s="487"/>
      <c r="AY103" s="101"/>
      <c r="AZ103" s="101"/>
      <c r="BA103" s="101"/>
      <c r="BB103" s="101"/>
      <c r="BC103" s="487"/>
      <c r="BD103" s="101"/>
      <c r="BE103" s="101"/>
      <c r="BF103" s="101"/>
      <c r="BG103" s="101"/>
      <c r="BH103" s="487"/>
      <c r="BI103" s="101"/>
      <c r="BJ103" s="101"/>
      <c r="BK103" s="101"/>
      <c r="BL103" s="101"/>
      <c r="BM103" s="487"/>
      <c r="BN103" s="101"/>
      <c r="BO103" s="101"/>
      <c r="BP103" s="101"/>
      <c r="BQ103" s="101"/>
      <c r="BR103" s="487"/>
      <c r="BS103" s="101"/>
      <c r="BT103" s="101"/>
      <c r="BU103" s="101"/>
      <c r="BV103" s="101"/>
      <c r="BW103" s="398"/>
      <c r="BX103" s="411"/>
      <c r="BY103" s="411"/>
    </row>
    <row r="104" spans="1:77" ht="12.75" x14ac:dyDescent="0.2">
      <c r="A104" s="388"/>
      <c r="B104" s="388"/>
      <c r="D104" s="398" t="s">
        <v>394</v>
      </c>
      <c r="E104" s="404"/>
      <c r="F104" s="388"/>
      <c r="G104" s="101">
        <f>SUM(G105:G105)</f>
        <v>0</v>
      </c>
      <c r="H104" s="101"/>
      <c r="I104" s="101"/>
      <c r="J104" s="487"/>
      <c r="K104" s="388"/>
      <c r="L104" s="101">
        <f>SUM(L105:L105)</f>
        <v>0</v>
      </c>
      <c r="M104" s="101"/>
      <c r="N104" s="101"/>
      <c r="O104" s="487"/>
      <c r="P104" s="101"/>
      <c r="Q104" s="101">
        <f>SUM(Q105:Q105)</f>
        <v>0</v>
      </c>
      <c r="R104" s="101"/>
      <c r="S104" s="101"/>
      <c r="T104" s="487"/>
      <c r="U104" s="101"/>
      <c r="V104" s="101">
        <f>SUM(V105:V105)</f>
        <v>0</v>
      </c>
      <c r="W104" s="101"/>
      <c r="X104" s="101"/>
      <c r="Y104" s="487"/>
      <c r="Z104" s="101"/>
      <c r="AA104" s="101">
        <f>SUM(AA105:AA105)</f>
        <v>0</v>
      </c>
      <c r="AB104" s="101"/>
      <c r="AC104" s="101"/>
      <c r="AD104" s="487"/>
      <c r="AE104" s="101"/>
      <c r="AF104" s="101">
        <f>SUM(AF105:AF105)</f>
        <v>0</v>
      </c>
      <c r="AG104" s="101"/>
      <c r="AH104" s="101"/>
      <c r="AI104" s="487"/>
      <c r="AJ104" s="101"/>
      <c r="AK104" s="101">
        <f>SUM(AK105:AK105)</f>
        <v>0</v>
      </c>
      <c r="AL104" s="101"/>
      <c r="AM104" s="101"/>
      <c r="AN104" s="487"/>
      <c r="AO104" s="101"/>
      <c r="AP104" s="101">
        <f>SUM(AP105:AP105)</f>
        <v>0</v>
      </c>
      <c r="AQ104" s="101"/>
      <c r="AR104" s="101"/>
      <c r="AS104" s="487"/>
      <c r="AT104" s="101"/>
      <c r="AU104" s="101">
        <f>SUM(AU105:AU105)</f>
        <v>0</v>
      </c>
      <c r="AV104" s="101"/>
      <c r="AW104" s="101"/>
      <c r="AX104" s="487"/>
      <c r="AY104" s="101"/>
      <c r="AZ104" s="101">
        <f>SUM(AZ105:AZ105)</f>
        <v>0</v>
      </c>
      <c r="BA104" s="101"/>
      <c r="BB104" s="101"/>
      <c r="BC104" s="487"/>
      <c r="BD104" s="101"/>
      <c r="BE104" s="101">
        <f>SUM(BE105:BE105)</f>
        <v>0</v>
      </c>
      <c r="BF104" s="101"/>
      <c r="BG104" s="101"/>
      <c r="BH104" s="487"/>
      <c r="BI104" s="101"/>
      <c r="BJ104" s="101">
        <f>SUM(BJ105:BJ105)</f>
        <v>0</v>
      </c>
      <c r="BK104" s="101"/>
      <c r="BL104" s="101"/>
      <c r="BM104" s="487"/>
      <c r="BN104" s="101"/>
      <c r="BO104" s="101">
        <f>SUM(BO105:BO105)</f>
        <v>0</v>
      </c>
      <c r="BP104" s="101"/>
      <c r="BQ104" s="101"/>
      <c r="BR104" s="487"/>
      <c r="BS104" s="388"/>
      <c r="BT104" s="101">
        <f>SUM(BT105:BT105)</f>
        <v>0</v>
      </c>
      <c r="BU104" s="101"/>
      <c r="BV104" s="101"/>
      <c r="BW104" s="398"/>
      <c r="BX104" s="411"/>
      <c r="BY104" s="411"/>
    </row>
    <row r="105" spans="1:77" ht="12.75" x14ac:dyDescent="0.2">
      <c r="A105" s="388"/>
      <c r="B105" s="388"/>
      <c r="D105" s="398" t="s">
        <v>373</v>
      </c>
      <c r="E105" s="404"/>
      <c r="F105" s="490"/>
      <c r="G105" s="491">
        <v>0</v>
      </c>
      <c r="H105" s="492"/>
      <c r="I105" s="101"/>
      <c r="J105" s="487"/>
      <c r="K105" s="490"/>
      <c r="L105" s="491">
        <v>0</v>
      </c>
      <c r="M105" s="492"/>
      <c r="N105" s="101"/>
      <c r="O105" s="487"/>
      <c r="P105" s="493"/>
      <c r="Q105" s="491">
        <v>0</v>
      </c>
      <c r="R105" s="492"/>
      <c r="S105" s="101"/>
      <c r="T105" s="487"/>
      <c r="U105" s="493"/>
      <c r="V105" s="491">
        <v>0</v>
      </c>
      <c r="W105" s="492"/>
      <c r="X105" s="101"/>
      <c r="Y105" s="487"/>
      <c r="Z105" s="493"/>
      <c r="AA105" s="491">
        <v>0</v>
      </c>
      <c r="AB105" s="492"/>
      <c r="AC105" s="101"/>
      <c r="AD105" s="487"/>
      <c r="AE105" s="493"/>
      <c r="AF105" s="491">
        <v>0</v>
      </c>
      <c r="AG105" s="492"/>
      <c r="AH105" s="101"/>
      <c r="AI105" s="487"/>
      <c r="AJ105" s="493"/>
      <c r="AK105" s="491">
        <v>0</v>
      </c>
      <c r="AL105" s="492"/>
      <c r="AM105" s="101"/>
      <c r="AN105" s="487"/>
      <c r="AO105" s="493"/>
      <c r="AP105" s="491">
        <v>0</v>
      </c>
      <c r="AQ105" s="492"/>
      <c r="AR105" s="101"/>
      <c r="AS105" s="487"/>
      <c r="AT105" s="493"/>
      <c r="AU105" s="491">
        <v>0</v>
      </c>
      <c r="AV105" s="492"/>
      <c r="AW105" s="101"/>
      <c r="AX105" s="487"/>
      <c r="AY105" s="493"/>
      <c r="AZ105" s="491">
        <v>0</v>
      </c>
      <c r="BA105" s="492"/>
      <c r="BB105" s="101"/>
      <c r="BC105" s="487"/>
      <c r="BD105" s="493"/>
      <c r="BE105" s="491">
        <v>0</v>
      </c>
      <c r="BF105" s="492"/>
      <c r="BG105" s="101"/>
      <c r="BH105" s="487"/>
      <c r="BI105" s="493"/>
      <c r="BJ105" s="491">
        <v>0</v>
      </c>
      <c r="BK105" s="492"/>
      <c r="BL105" s="101"/>
      <c r="BM105" s="487"/>
      <c r="BN105" s="493"/>
      <c r="BO105" s="491">
        <v>0</v>
      </c>
      <c r="BP105" s="492"/>
      <c r="BQ105" s="101"/>
      <c r="BR105" s="487"/>
      <c r="BS105" s="493"/>
      <c r="BT105" s="491">
        <f>SUM(L105:BO105)</f>
        <v>0</v>
      </c>
      <c r="BU105" s="492"/>
      <c r="BV105" s="101"/>
      <c r="BW105" s="398"/>
      <c r="BX105" s="411"/>
      <c r="BY105" s="411"/>
    </row>
    <row r="106" spans="1:77" ht="12.75" customHeight="1" x14ac:dyDescent="0.2">
      <c r="A106" s="388"/>
      <c r="B106" s="388"/>
      <c r="D106" s="398"/>
      <c r="E106" s="404"/>
      <c r="F106" s="388"/>
      <c r="G106" s="101"/>
      <c r="H106" s="101"/>
      <c r="I106" s="101"/>
      <c r="J106" s="487"/>
      <c r="K106" s="101"/>
      <c r="L106" s="101"/>
      <c r="M106" s="101"/>
      <c r="N106" s="101"/>
      <c r="O106" s="487"/>
      <c r="P106" s="101"/>
      <c r="Q106" s="101"/>
      <c r="R106" s="101"/>
      <c r="S106" s="101"/>
      <c r="T106" s="487"/>
      <c r="U106" s="101"/>
      <c r="V106" s="101"/>
      <c r="W106" s="101"/>
      <c r="X106" s="101"/>
      <c r="Y106" s="487"/>
      <c r="Z106" s="101"/>
      <c r="AA106" s="101"/>
      <c r="AB106" s="101"/>
      <c r="AC106" s="101"/>
      <c r="AD106" s="487"/>
      <c r="AE106" s="101"/>
      <c r="AF106" s="101"/>
      <c r="AG106" s="101"/>
      <c r="AH106" s="101"/>
      <c r="AI106" s="487"/>
      <c r="AJ106" s="101"/>
      <c r="AK106" s="101"/>
      <c r="AL106" s="101"/>
      <c r="AM106" s="101"/>
      <c r="AN106" s="487"/>
      <c r="AO106" s="101"/>
      <c r="AP106" s="101"/>
      <c r="AQ106" s="101"/>
      <c r="AR106" s="101"/>
      <c r="AS106" s="487"/>
      <c r="AT106" s="101"/>
      <c r="AU106" s="101"/>
      <c r="AV106" s="101"/>
      <c r="AW106" s="101"/>
      <c r="AX106" s="487"/>
      <c r="AY106" s="101"/>
      <c r="AZ106" s="101"/>
      <c r="BA106" s="101"/>
      <c r="BB106" s="101"/>
      <c r="BC106" s="487"/>
      <c r="BD106" s="101"/>
      <c r="BE106" s="101"/>
      <c r="BF106" s="101"/>
      <c r="BG106" s="101"/>
      <c r="BH106" s="487"/>
      <c r="BI106" s="101"/>
      <c r="BJ106" s="101"/>
      <c r="BK106" s="101"/>
      <c r="BL106" s="101"/>
      <c r="BM106" s="487"/>
      <c r="BN106" s="101"/>
      <c r="BO106" s="101"/>
      <c r="BP106" s="101"/>
      <c r="BQ106" s="101"/>
      <c r="BR106" s="487"/>
      <c r="BS106" s="101"/>
      <c r="BT106" s="101"/>
      <c r="BU106" s="101"/>
      <c r="BV106" s="101"/>
      <c r="BW106" s="398"/>
      <c r="BX106" s="411"/>
      <c r="BY106" s="411"/>
    </row>
    <row r="107" spans="1:77" ht="12.75" customHeight="1" x14ac:dyDescent="0.2">
      <c r="A107" s="388"/>
      <c r="B107" s="388"/>
      <c r="D107" s="398" t="str">
        <f>[39]domlongtermissues!D336</f>
        <v xml:space="preserve">  R209  (6.25%  2036/03/31)</v>
      </c>
      <c r="E107" s="404"/>
      <c r="F107" s="388"/>
      <c r="G107" s="101">
        <f>SUM(G108:G108)</f>
        <v>18552</v>
      </c>
      <c r="H107" s="101"/>
      <c r="I107" s="101"/>
      <c r="J107" s="487"/>
      <c r="K107" s="101"/>
      <c r="L107" s="101">
        <f>SUM(L108:L108)</f>
        <v>0</v>
      </c>
      <c r="M107" s="101"/>
      <c r="N107" s="101"/>
      <c r="O107" s="487"/>
      <c r="P107" s="101"/>
      <c r="Q107" s="101">
        <f>SUM(Q108:Q108)</f>
        <v>0</v>
      </c>
      <c r="R107" s="101"/>
      <c r="S107" s="101"/>
      <c r="T107" s="487"/>
      <c r="U107" s="101"/>
      <c r="V107" s="101">
        <f>SUM(V108:V108)</f>
        <v>0</v>
      </c>
      <c r="W107" s="101"/>
      <c r="X107" s="101"/>
      <c r="Y107" s="487"/>
      <c r="Z107" s="101"/>
      <c r="AA107" s="101">
        <f>SUM(AA108:AA108)</f>
        <v>0</v>
      </c>
      <c r="AB107" s="101"/>
      <c r="AC107" s="101"/>
      <c r="AD107" s="487"/>
      <c r="AE107" s="101"/>
      <c r="AF107" s="101">
        <f>SUM(AF108:AF108)</f>
        <v>0</v>
      </c>
      <c r="AG107" s="101"/>
      <c r="AH107" s="101"/>
      <c r="AI107" s="487"/>
      <c r="AJ107" s="101"/>
      <c r="AK107" s="101">
        <f>SUM(AK108:AK108)</f>
        <v>18552</v>
      </c>
      <c r="AL107" s="101"/>
      <c r="AM107" s="101"/>
      <c r="AN107" s="487"/>
      <c r="AO107" s="101"/>
      <c r="AP107" s="101">
        <f>SUM(AP108:AP108)</f>
        <v>0</v>
      </c>
      <c r="AQ107" s="101"/>
      <c r="AR107" s="101"/>
      <c r="AS107" s="487"/>
      <c r="AT107" s="101"/>
      <c r="AU107" s="101">
        <f>SUM(AU108:AU108)</f>
        <v>0</v>
      </c>
      <c r="AV107" s="101"/>
      <c r="AW107" s="101"/>
      <c r="AX107" s="487"/>
      <c r="AY107" s="101"/>
      <c r="AZ107" s="101">
        <f>SUM(AZ108:AZ108)</f>
        <v>0</v>
      </c>
      <c r="BA107" s="101"/>
      <c r="BB107" s="101"/>
      <c r="BC107" s="487"/>
      <c r="BD107" s="101"/>
      <c r="BE107" s="101">
        <f>SUM(BE108:BE108)</f>
        <v>0</v>
      </c>
      <c r="BF107" s="101"/>
      <c r="BG107" s="101"/>
      <c r="BH107" s="487"/>
      <c r="BI107" s="101"/>
      <c r="BJ107" s="101">
        <f>SUM(BJ108:BJ108)</f>
        <v>0</v>
      </c>
      <c r="BK107" s="101"/>
      <c r="BL107" s="101"/>
      <c r="BM107" s="487"/>
      <c r="BN107" s="101"/>
      <c r="BO107" s="101">
        <f>SUM(BO108:BO108)</f>
        <v>0</v>
      </c>
      <c r="BP107" s="101"/>
      <c r="BQ107" s="101"/>
      <c r="BR107" s="487"/>
      <c r="BS107" s="101"/>
      <c r="BT107" s="101">
        <f>SUM(BT108:BT108)</f>
        <v>18552</v>
      </c>
      <c r="BU107" s="101"/>
      <c r="BV107" s="101"/>
      <c r="BW107" s="398"/>
      <c r="BX107" s="411"/>
      <c r="BY107" s="411"/>
    </row>
    <row r="108" spans="1:77" ht="12.75" customHeight="1" x14ac:dyDescent="0.2">
      <c r="A108" s="388"/>
      <c r="B108" s="388"/>
      <c r="D108" s="398" t="s">
        <v>373</v>
      </c>
      <c r="E108" s="404"/>
      <c r="F108" s="490"/>
      <c r="G108" s="491">
        <v>18552</v>
      </c>
      <c r="H108" s="492"/>
      <c r="I108" s="101"/>
      <c r="J108" s="487"/>
      <c r="K108" s="490"/>
      <c r="L108" s="491">
        <v>0</v>
      </c>
      <c r="M108" s="492"/>
      <c r="N108" s="101"/>
      <c r="O108" s="487"/>
      <c r="P108" s="490"/>
      <c r="Q108" s="491">
        <v>0</v>
      </c>
      <c r="R108" s="492"/>
      <c r="S108" s="101"/>
      <c r="T108" s="487"/>
      <c r="U108" s="490"/>
      <c r="V108" s="491">
        <v>0</v>
      </c>
      <c r="W108" s="492"/>
      <c r="X108" s="101"/>
      <c r="Y108" s="487"/>
      <c r="Z108" s="490"/>
      <c r="AA108" s="491">
        <v>0</v>
      </c>
      <c r="AB108" s="492"/>
      <c r="AC108" s="101"/>
      <c r="AD108" s="487"/>
      <c r="AE108" s="490"/>
      <c r="AF108" s="491">
        <v>0</v>
      </c>
      <c r="AG108" s="492"/>
      <c r="AH108" s="101"/>
      <c r="AI108" s="487"/>
      <c r="AJ108" s="490"/>
      <c r="AK108" s="491">
        <v>18552</v>
      </c>
      <c r="AL108" s="492"/>
      <c r="AM108" s="49"/>
      <c r="AN108" s="46"/>
      <c r="AO108" s="490"/>
      <c r="AP108" s="491">
        <v>0</v>
      </c>
      <c r="AQ108" s="492"/>
      <c r="AR108" s="101"/>
      <c r="AS108" s="487"/>
      <c r="AT108" s="490"/>
      <c r="AU108" s="491">
        <v>0</v>
      </c>
      <c r="AV108" s="492"/>
      <c r="AW108" s="101"/>
      <c r="AX108" s="487"/>
      <c r="AY108" s="490"/>
      <c r="AZ108" s="491">
        <v>0</v>
      </c>
      <c r="BA108" s="492"/>
      <c r="BB108" s="101"/>
      <c r="BC108" s="487"/>
      <c r="BD108" s="490"/>
      <c r="BE108" s="491">
        <v>0</v>
      </c>
      <c r="BF108" s="492"/>
      <c r="BG108" s="101"/>
      <c r="BH108" s="487"/>
      <c r="BI108" s="490"/>
      <c r="BJ108" s="491">
        <v>0</v>
      </c>
      <c r="BK108" s="492"/>
      <c r="BL108" s="101"/>
      <c r="BM108" s="487"/>
      <c r="BN108" s="490"/>
      <c r="BO108" s="491">
        <v>0</v>
      </c>
      <c r="BP108" s="492"/>
      <c r="BQ108" s="101"/>
      <c r="BR108" s="487"/>
      <c r="BS108" s="490"/>
      <c r="BT108" s="491">
        <f>SUM(L108:BO108)</f>
        <v>18552</v>
      </c>
      <c r="BU108" s="492"/>
      <c r="BV108" s="101"/>
      <c r="BW108" s="398"/>
      <c r="BX108" s="411"/>
      <c r="BY108" s="411"/>
    </row>
    <row r="109" spans="1:77" ht="12.75" x14ac:dyDescent="0.2">
      <c r="A109" s="388"/>
      <c r="B109" s="388"/>
      <c r="D109" s="398"/>
      <c r="E109" s="404"/>
      <c r="F109" s="388"/>
      <c r="G109" s="101"/>
      <c r="H109" s="101"/>
      <c r="I109" s="101"/>
      <c r="J109" s="487"/>
      <c r="K109" s="388"/>
      <c r="L109" s="101"/>
      <c r="M109" s="101"/>
      <c r="N109" s="101"/>
      <c r="O109" s="487"/>
      <c r="P109" s="388"/>
      <c r="Q109" s="101"/>
      <c r="R109" s="101"/>
      <c r="S109" s="101"/>
      <c r="T109" s="487"/>
      <c r="U109" s="388"/>
      <c r="V109" s="101"/>
      <c r="W109" s="101"/>
      <c r="X109" s="101"/>
      <c r="Y109" s="487"/>
      <c r="Z109" s="388"/>
      <c r="AA109" s="101"/>
      <c r="AB109" s="101"/>
      <c r="AC109" s="101"/>
      <c r="AD109" s="487"/>
      <c r="AE109" s="388"/>
      <c r="AF109" s="101"/>
      <c r="AG109" s="101"/>
      <c r="AH109" s="101"/>
      <c r="AI109" s="487"/>
      <c r="AJ109" s="388"/>
      <c r="AK109" s="101"/>
      <c r="AL109" s="101"/>
      <c r="AM109" s="101"/>
      <c r="AN109" s="487"/>
      <c r="AO109" s="388"/>
      <c r="AP109" s="101"/>
      <c r="AQ109" s="101"/>
      <c r="AR109" s="101"/>
      <c r="AS109" s="487"/>
      <c r="AT109" s="388"/>
      <c r="AU109" s="101"/>
      <c r="AV109" s="101"/>
      <c r="AW109" s="101"/>
      <c r="AX109" s="487"/>
      <c r="AY109" s="388"/>
      <c r="AZ109" s="101"/>
      <c r="BA109" s="101"/>
      <c r="BB109" s="101"/>
      <c r="BC109" s="487"/>
      <c r="BD109" s="388"/>
      <c r="BE109" s="101"/>
      <c r="BF109" s="101"/>
      <c r="BG109" s="101"/>
      <c r="BH109" s="487"/>
      <c r="BI109" s="388"/>
      <c r="BJ109" s="101"/>
      <c r="BK109" s="101"/>
      <c r="BL109" s="101"/>
      <c r="BM109" s="487"/>
      <c r="BN109" s="388"/>
      <c r="BO109" s="101"/>
      <c r="BP109" s="101"/>
      <c r="BQ109" s="101"/>
      <c r="BR109" s="487"/>
      <c r="BS109" s="388"/>
      <c r="BT109" s="101"/>
      <c r="BU109" s="101"/>
      <c r="BV109" s="101"/>
      <c r="BW109" s="398"/>
      <c r="BX109" s="411"/>
      <c r="BY109" s="411"/>
    </row>
    <row r="110" spans="1:77" ht="12.75" x14ac:dyDescent="0.2">
      <c r="A110" s="388"/>
      <c r="B110" s="388"/>
      <c r="D110" s="398" t="s">
        <v>403</v>
      </c>
      <c r="E110" s="404"/>
      <c r="F110" s="388"/>
      <c r="G110" s="101">
        <f>SUM(G111:G111)</f>
        <v>0</v>
      </c>
      <c r="H110" s="101"/>
      <c r="I110" s="101"/>
      <c r="J110" s="487"/>
      <c r="K110" s="101"/>
      <c r="L110" s="101">
        <f>SUM(L111:L111)</f>
        <v>0</v>
      </c>
      <c r="M110" s="101"/>
      <c r="N110" s="101"/>
      <c r="O110" s="487"/>
      <c r="P110" s="101"/>
      <c r="Q110" s="101">
        <f>SUM(Q111:Q111)</f>
        <v>0</v>
      </c>
      <c r="R110" s="101"/>
      <c r="S110" s="101"/>
      <c r="T110" s="487"/>
      <c r="U110" s="101"/>
      <c r="V110" s="101">
        <f>SUM(V111:V111)</f>
        <v>0</v>
      </c>
      <c r="W110" s="101"/>
      <c r="X110" s="101"/>
      <c r="Y110" s="487"/>
      <c r="Z110" s="101"/>
      <c r="AA110" s="101">
        <f>SUM(AA111:AA111)</f>
        <v>0</v>
      </c>
      <c r="AB110" s="101"/>
      <c r="AC110" s="101"/>
      <c r="AD110" s="487"/>
      <c r="AE110" s="101"/>
      <c r="AF110" s="101">
        <f>SUM(AF111:AF111)</f>
        <v>0</v>
      </c>
      <c r="AG110" s="101"/>
      <c r="AH110" s="101"/>
      <c r="AI110" s="487"/>
      <c r="AJ110" s="101"/>
      <c r="AK110" s="101">
        <f>SUM(AK111:AK111)</f>
        <v>0</v>
      </c>
      <c r="AL110" s="101"/>
      <c r="AM110" s="101"/>
      <c r="AN110" s="487"/>
      <c r="AO110" s="101"/>
      <c r="AP110" s="101">
        <f>SUM(AP111:AP111)</f>
        <v>0</v>
      </c>
      <c r="AQ110" s="101"/>
      <c r="AR110" s="101"/>
      <c r="AS110" s="487"/>
      <c r="AT110" s="101"/>
      <c r="AU110" s="101">
        <f>SUM(AU111:AU111)</f>
        <v>0</v>
      </c>
      <c r="AV110" s="101"/>
      <c r="AW110" s="101"/>
      <c r="AX110" s="487"/>
      <c r="AY110" s="101"/>
      <c r="AZ110" s="101">
        <f>SUM(AZ111:AZ111)</f>
        <v>0</v>
      </c>
      <c r="BA110" s="101"/>
      <c r="BB110" s="101"/>
      <c r="BC110" s="487"/>
      <c r="BD110" s="101"/>
      <c r="BE110" s="101">
        <f>SUM(BE111:BE111)</f>
        <v>0</v>
      </c>
      <c r="BF110" s="101"/>
      <c r="BG110" s="101"/>
      <c r="BH110" s="487"/>
      <c r="BI110" s="101"/>
      <c r="BJ110" s="101">
        <f>SUM(BJ111:BJ111)</f>
        <v>0</v>
      </c>
      <c r="BK110" s="101"/>
      <c r="BL110" s="101"/>
      <c r="BM110" s="487"/>
      <c r="BN110" s="101"/>
      <c r="BO110" s="101">
        <f>SUM(BO111:BO111)</f>
        <v>0</v>
      </c>
      <c r="BP110" s="101"/>
      <c r="BQ110" s="101"/>
      <c r="BR110" s="487"/>
      <c r="BS110" s="388"/>
      <c r="BT110" s="101">
        <f>SUM(BT111:BT111)</f>
        <v>0</v>
      </c>
      <c r="BU110" s="101"/>
      <c r="BV110" s="101"/>
      <c r="BW110" s="398"/>
      <c r="BX110" s="411"/>
      <c r="BY110" s="411"/>
    </row>
    <row r="111" spans="1:77" ht="12.75" x14ac:dyDescent="0.2">
      <c r="A111" s="388"/>
      <c r="B111" s="388"/>
      <c r="D111" s="398" t="s">
        <v>373</v>
      </c>
      <c r="E111" s="404"/>
      <c r="F111" s="490"/>
      <c r="G111" s="491">
        <v>0</v>
      </c>
      <c r="H111" s="492"/>
      <c r="I111" s="101"/>
      <c r="J111" s="487"/>
      <c r="K111" s="490"/>
      <c r="L111" s="491">
        <v>0</v>
      </c>
      <c r="M111" s="492"/>
      <c r="N111" s="101"/>
      <c r="O111" s="487"/>
      <c r="P111" s="493"/>
      <c r="Q111" s="491">
        <v>0</v>
      </c>
      <c r="R111" s="492"/>
      <c r="S111" s="101"/>
      <c r="T111" s="487"/>
      <c r="U111" s="493"/>
      <c r="V111" s="491">
        <v>0</v>
      </c>
      <c r="W111" s="492"/>
      <c r="X111" s="101"/>
      <c r="Y111" s="487"/>
      <c r="Z111" s="493"/>
      <c r="AA111" s="491">
        <v>0</v>
      </c>
      <c r="AB111" s="492"/>
      <c r="AC111" s="101"/>
      <c r="AD111" s="487"/>
      <c r="AE111" s="493"/>
      <c r="AF111" s="491">
        <v>0</v>
      </c>
      <c r="AG111" s="492"/>
      <c r="AH111" s="101"/>
      <c r="AI111" s="487"/>
      <c r="AJ111" s="493"/>
      <c r="AK111" s="491">
        <v>0</v>
      </c>
      <c r="AL111" s="492"/>
      <c r="AM111" s="101"/>
      <c r="AN111" s="487"/>
      <c r="AO111" s="493"/>
      <c r="AP111" s="491">
        <v>0</v>
      </c>
      <c r="AQ111" s="492"/>
      <c r="AR111" s="101"/>
      <c r="AS111" s="487"/>
      <c r="AT111" s="493"/>
      <c r="AU111" s="491">
        <v>0</v>
      </c>
      <c r="AV111" s="492"/>
      <c r="AW111" s="101"/>
      <c r="AX111" s="487"/>
      <c r="AY111" s="493"/>
      <c r="AZ111" s="491">
        <v>0</v>
      </c>
      <c r="BA111" s="492"/>
      <c r="BB111" s="101"/>
      <c r="BC111" s="487"/>
      <c r="BD111" s="493"/>
      <c r="BE111" s="491">
        <v>0</v>
      </c>
      <c r="BF111" s="492"/>
      <c r="BG111" s="101"/>
      <c r="BH111" s="487"/>
      <c r="BI111" s="493"/>
      <c r="BJ111" s="491">
        <v>0</v>
      </c>
      <c r="BK111" s="492"/>
      <c r="BL111" s="101"/>
      <c r="BM111" s="487"/>
      <c r="BN111" s="493"/>
      <c r="BO111" s="491">
        <v>0</v>
      </c>
      <c r="BP111" s="492"/>
      <c r="BQ111" s="101"/>
      <c r="BR111" s="487"/>
      <c r="BS111" s="490"/>
      <c r="BT111" s="491">
        <f>SUM(L111:BO111)</f>
        <v>0</v>
      </c>
      <c r="BU111" s="492"/>
      <c r="BV111" s="101"/>
      <c r="BW111" s="398"/>
      <c r="BX111" s="411"/>
      <c r="BY111" s="411"/>
    </row>
    <row r="112" spans="1:77" ht="12.75" x14ac:dyDescent="0.2">
      <c r="A112" s="388"/>
      <c r="B112" s="388"/>
      <c r="D112" s="398"/>
      <c r="E112" s="404"/>
      <c r="F112" s="388"/>
      <c r="G112" s="101"/>
      <c r="H112" s="101"/>
      <c r="I112" s="101"/>
      <c r="J112" s="487"/>
      <c r="K112" s="388"/>
      <c r="L112" s="101"/>
      <c r="M112" s="101"/>
      <c r="N112" s="101"/>
      <c r="O112" s="487"/>
      <c r="P112" s="388"/>
      <c r="Q112" s="101"/>
      <c r="R112" s="101"/>
      <c r="S112" s="101"/>
      <c r="T112" s="487"/>
      <c r="U112" s="388"/>
      <c r="V112" s="101"/>
      <c r="W112" s="101"/>
      <c r="X112" s="101"/>
      <c r="Y112" s="487"/>
      <c r="Z112" s="388"/>
      <c r="AA112" s="101"/>
      <c r="AB112" s="101"/>
      <c r="AC112" s="101"/>
      <c r="AD112" s="487"/>
      <c r="AE112" s="388"/>
      <c r="AF112" s="101"/>
      <c r="AG112" s="101"/>
      <c r="AH112" s="101"/>
      <c r="AI112" s="487"/>
      <c r="AJ112" s="388"/>
      <c r="AK112" s="101"/>
      <c r="AL112" s="101"/>
      <c r="AM112" s="101"/>
      <c r="AN112" s="487"/>
      <c r="AO112" s="388"/>
      <c r="AP112" s="101"/>
      <c r="AQ112" s="101"/>
      <c r="AR112" s="101"/>
      <c r="AS112" s="487"/>
      <c r="AT112" s="388"/>
      <c r="AU112" s="101"/>
      <c r="AV112" s="101"/>
      <c r="AW112" s="101"/>
      <c r="AX112" s="487"/>
      <c r="AY112" s="388"/>
      <c r="AZ112" s="101"/>
      <c r="BA112" s="101"/>
      <c r="BB112" s="101"/>
      <c r="BC112" s="487"/>
      <c r="BD112" s="388"/>
      <c r="BE112" s="101"/>
      <c r="BF112" s="101"/>
      <c r="BG112" s="101"/>
      <c r="BH112" s="487"/>
      <c r="BI112" s="388"/>
      <c r="BJ112" s="101"/>
      <c r="BK112" s="101"/>
      <c r="BL112" s="101"/>
      <c r="BM112" s="487"/>
      <c r="BN112" s="388"/>
      <c r="BO112" s="101"/>
      <c r="BP112" s="101"/>
      <c r="BQ112" s="101"/>
      <c r="BR112" s="487"/>
      <c r="BS112" s="388"/>
      <c r="BT112" s="101"/>
      <c r="BU112" s="101"/>
      <c r="BV112" s="101"/>
      <c r="BW112" s="398"/>
      <c r="BX112" s="411"/>
      <c r="BY112" s="411"/>
    </row>
    <row r="113" spans="1:77" ht="12.75" hidden="1" x14ac:dyDescent="0.2">
      <c r="A113" s="388"/>
      <c r="B113" s="388"/>
      <c r="D113" s="398" t="s">
        <v>399</v>
      </c>
      <c r="E113" s="404"/>
      <c r="F113" s="388"/>
      <c r="G113" s="101">
        <f>SUM(G114:G114)</f>
        <v>0</v>
      </c>
      <c r="H113" s="101"/>
      <c r="I113" s="101"/>
      <c r="J113" s="487"/>
      <c r="K113" s="101"/>
      <c r="L113" s="101">
        <f>SUM(L114:L114)</f>
        <v>0</v>
      </c>
      <c r="M113" s="101"/>
      <c r="N113" s="101"/>
      <c r="O113" s="487"/>
      <c r="P113" s="101"/>
      <c r="Q113" s="101">
        <f>SUM(Q114:Q114)</f>
        <v>0</v>
      </c>
      <c r="R113" s="101"/>
      <c r="S113" s="101"/>
      <c r="T113" s="487"/>
      <c r="U113" s="101"/>
      <c r="V113" s="101">
        <f>SUM(V114:V114)</f>
        <v>0</v>
      </c>
      <c r="W113" s="101"/>
      <c r="X113" s="101"/>
      <c r="Y113" s="487"/>
      <c r="Z113" s="101"/>
      <c r="AA113" s="101">
        <f>SUM(AA114:AA114)</f>
        <v>0</v>
      </c>
      <c r="AB113" s="101"/>
      <c r="AC113" s="101"/>
      <c r="AD113" s="487"/>
      <c r="AE113" s="101"/>
      <c r="AF113" s="101">
        <f>SUM(AF114:AF114)</f>
        <v>0</v>
      </c>
      <c r="AG113" s="101"/>
      <c r="AH113" s="101"/>
      <c r="AI113" s="487"/>
      <c r="AJ113" s="101"/>
      <c r="AK113" s="101">
        <f>SUM(AK114:AK114)</f>
        <v>0</v>
      </c>
      <c r="AL113" s="101"/>
      <c r="AM113" s="101"/>
      <c r="AN113" s="487"/>
      <c r="AO113" s="101"/>
      <c r="AP113" s="101">
        <f>SUM(AP114:AP114)</f>
        <v>0</v>
      </c>
      <c r="AQ113" s="101"/>
      <c r="AR113" s="101"/>
      <c r="AS113" s="487"/>
      <c r="AT113" s="101"/>
      <c r="AU113" s="101">
        <f>SUM(AU114:AU114)</f>
        <v>0</v>
      </c>
      <c r="AV113" s="101"/>
      <c r="AW113" s="101"/>
      <c r="AX113" s="487"/>
      <c r="AY113" s="101"/>
      <c r="AZ113" s="101">
        <f>SUM(AZ114:AZ114)</f>
        <v>0</v>
      </c>
      <c r="BA113" s="101"/>
      <c r="BB113" s="101"/>
      <c r="BC113" s="487"/>
      <c r="BD113" s="101"/>
      <c r="BE113" s="101">
        <f>SUM(BE114:BE114)</f>
        <v>0</v>
      </c>
      <c r="BF113" s="101"/>
      <c r="BG113" s="101"/>
      <c r="BH113" s="487"/>
      <c r="BI113" s="101"/>
      <c r="BJ113" s="101">
        <f>SUM(BJ114:BJ114)</f>
        <v>0</v>
      </c>
      <c r="BK113" s="101"/>
      <c r="BL113" s="101"/>
      <c r="BM113" s="487"/>
      <c r="BN113" s="101"/>
      <c r="BO113" s="101">
        <f>SUM(BO114:BO114)</f>
        <v>0</v>
      </c>
      <c r="BP113" s="101"/>
      <c r="BQ113" s="101"/>
      <c r="BR113" s="487"/>
      <c r="BS113" s="388"/>
      <c r="BT113" s="101">
        <f>SUM(BT114:BT114)</f>
        <v>0</v>
      </c>
      <c r="BU113" s="101"/>
      <c r="BV113" s="101"/>
      <c r="BW113" s="398"/>
      <c r="BX113" s="411"/>
      <c r="BY113" s="411"/>
    </row>
    <row r="114" spans="1:77" ht="12.75" hidden="1" x14ac:dyDescent="0.2">
      <c r="A114" s="388"/>
      <c r="B114" s="388"/>
      <c r="D114" s="398" t="s">
        <v>373</v>
      </c>
      <c r="E114" s="404"/>
      <c r="F114" s="490"/>
      <c r="G114" s="491">
        <v>0</v>
      </c>
      <c r="H114" s="492"/>
      <c r="I114" s="101"/>
      <c r="J114" s="487"/>
      <c r="K114" s="490"/>
      <c r="L114" s="491">
        <v>0</v>
      </c>
      <c r="M114" s="492"/>
      <c r="N114" s="101"/>
      <c r="O114" s="487"/>
      <c r="P114" s="493"/>
      <c r="Q114" s="491">
        <v>0</v>
      </c>
      <c r="R114" s="492"/>
      <c r="S114" s="101"/>
      <c r="T114" s="487"/>
      <c r="U114" s="493"/>
      <c r="V114" s="491">
        <v>0</v>
      </c>
      <c r="W114" s="492"/>
      <c r="X114" s="101"/>
      <c r="Y114" s="487"/>
      <c r="Z114" s="493"/>
      <c r="AA114" s="491">
        <v>0</v>
      </c>
      <c r="AB114" s="492"/>
      <c r="AC114" s="101"/>
      <c r="AD114" s="487"/>
      <c r="AE114" s="493"/>
      <c r="AF114" s="491">
        <v>0</v>
      </c>
      <c r="AG114" s="492"/>
      <c r="AH114" s="101"/>
      <c r="AI114" s="487"/>
      <c r="AJ114" s="493"/>
      <c r="AK114" s="491">
        <v>0</v>
      </c>
      <c r="AL114" s="492"/>
      <c r="AM114" s="101"/>
      <c r="AN114" s="487"/>
      <c r="AO114" s="493"/>
      <c r="AP114" s="491">
        <v>0</v>
      </c>
      <c r="AQ114" s="492"/>
      <c r="AR114" s="101"/>
      <c r="AS114" s="487"/>
      <c r="AT114" s="493"/>
      <c r="AU114" s="491">
        <v>0</v>
      </c>
      <c r="AV114" s="492"/>
      <c r="AW114" s="101"/>
      <c r="AX114" s="487"/>
      <c r="AY114" s="493"/>
      <c r="AZ114" s="491">
        <v>0</v>
      </c>
      <c r="BA114" s="492"/>
      <c r="BB114" s="101"/>
      <c r="BC114" s="487"/>
      <c r="BD114" s="493"/>
      <c r="BE114" s="491">
        <v>0</v>
      </c>
      <c r="BF114" s="492"/>
      <c r="BG114" s="101"/>
      <c r="BH114" s="487"/>
      <c r="BI114" s="493"/>
      <c r="BJ114" s="491">
        <v>0</v>
      </c>
      <c r="BK114" s="492"/>
      <c r="BL114" s="101"/>
      <c r="BM114" s="487"/>
      <c r="BN114" s="493"/>
      <c r="BO114" s="491">
        <v>0</v>
      </c>
      <c r="BP114" s="492"/>
      <c r="BQ114" s="101"/>
      <c r="BR114" s="487"/>
      <c r="BS114" s="490"/>
      <c r="BT114" s="491">
        <f>SUM(L114:BO114)</f>
        <v>0</v>
      </c>
      <c r="BU114" s="492"/>
      <c r="BV114" s="101"/>
      <c r="BW114" s="398"/>
      <c r="BX114" s="411"/>
      <c r="BY114" s="411"/>
    </row>
    <row r="115" spans="1:77" ht="12.75" hidden="1" x14ac:dyDescent="0.2">
      <c r="A115" s="388"/>
      <c r="B115" s="388"/>
      <c r="D115" s="398"/>
      <c r="E115" s="404"/>
      <c r="F115" s="388"/>
      <c r="G115" s="101"/>
      <c r="H115" s="101"/>
      <c r="I115" s="101"/>
      <c r="J115" s="487"/>
      <c r="K115" s="388"/>
      <c r="L115" s="101"/>
      <c r="M115" s="101"/>
      <c r="N115" s="101"/>
      <c r="O115" s="487"/>
      <c r="P115" s="388"/>
      <c r="Q115" s="101"/>
      <c r="R115" s="101"/>
      <c r="S115" s="101"/>
      <c r="T115" s="487"/>
      <c r="U115" s="388"/>
      <c r="V115" s="101"/>
      <c r="W115" s="101"/>
      <c r="X115" s="101"/>
      <c r="Y115" s="487"/>
      <c r="Z115" s="388"/>
      <c r="AA115" s="101"/>
      <c r="AB115" s="101"/>
      <c r="AC115" s="101"/>
      <c r="AD115" s="487"/>
      <c r="AE115" s="388"/>
      <c r="AF115" s="101"/>
      <c r="AG115" s="101"/>
      <c r="AH115" s="101"/>
      <c r="AI115" s="487"/>
      <c r="AJ115" s="388"/>
      <c r="AK115" s="101"/>
      <c r="AL115" s="101"/>
      <c r="AM115" s="101"/>
      <c r="AN115" s="487"/>
      <c r="AO115" s="388"/>
      <c r="AP115" s="101"/>
      <c r="AQ115" s="101"/>
      <c r="AR115" s="101"/>
      <c r="AS115" s="487"/>
      <c r="AT115" s="388"/>
      <c r="AU115" s="101"/>
      <c r="AV115" s="101"/>
      <c r="AW115" s="101"/>
      <c r="AX115" s="487"/>
      <c r="AY115" s="388"/>
      <c r="AZ115" s="101"/>
      <c r="BA115" s="101"/>
      <c r="BB115" s="101"/>
      <c r="BC115" s="487"/>
      <c r="BD115" s="388"/>
      <c r="BE115" s="101"/>
      <c r="BF115" s="101"/>
      <c r="BG115" s="101"/>
      <c r="BH115" s="487"/>
      <c r="BI115" s="388"/>
      <c r="BJ115" s="101"/>
      <c r="BK115" s="101"/>
      <c r="BL115" s="101"/>
      <c r="BM115" s="487"/>
      <c r="BN115" s="388"/>
      <c r="BO115" s="101"/>
      <c r="BP115" s="101"/>
      <c r="BQ115" s="101"/>
      <c r="BR115" s="487"/>
      <c r="BS115" s="388"/>
      <c r="BT115" s="101"/>
      <c r="BU115" s="101"/>
      <c r="BV115" s="101"/>
      <c r="BW115" s="398"/>
      <c r="BX115" s="411"/>
      <c r="BY115" s="411"/>
    </row>
    <row r="116" spans="1:77" ht="12.75" x14ac:dyDescent="0.2">
      <c r="A116" s="388"/>
      <c r="B116" s="388"/>
      <c r="D116" s="398" t="s">
        <v>439</v>
      </c>
      <c r="E116" s="404"/>
      <c r="F116" s="388"/>
      <c r="G116" s="101">
        <f>SUM(G117:G117)</f>
        <v>0</v>
      </c>
      <c r="H116" s="101"/>
      <c r="I116" s="101"/>
      <c r="J116" s="487"/>
      <c r="K116" s="101"/>
      <c r="L116" s="101">
        <f>SUM(L117:L117)</f>
        <v>0</v>
      </c>
      <c r="M116" s="101"/>
      <c r="N116" s="101"/>
      <c r="O116" s="487"/>
      <c r="P116" s="101"/>
      <c r="Q116" s="101">
        <f>SUM(Q117:Q117)</f>
        <v>0</v>
      </c>
      <c r="R116" s="101"/>
      <c r="S116" s="101"/>
      <c r="T116" s="487"/>
      <c r="U116" s="101"/>
      <c r="V116" s="101">
        <f>SUM(V117:V117)</f>
        <v>0</v>
      </c>
      <c r="W116" s="101"/>
      <c r="X116" s="101"/>
      <c r="Y116" s="487"/>
      <c r="Z116" s="101"/>
      <c r="AA116" s="101">
        <f>SUM(AA117:AA117)</f>
        <v>0</v>
      </c>
      <c r="AB116" s="101"/>
      <c r="AC116" s="101"/>
      <c r="AD116" s="487"/>
      <c r="AE116" s="101"/>
      <c r="AF116" s="101">
        <f>SUM(AF117:AF117)</f>
        <v>0</v>
      </c>
      <c r="AG116" s="101"/>
      <c r="AH116" s="101"/>
      <c r="AI116" s="487"/>
      <c r="AJ116" s="101"/>
      <c r="AK116" s="101">
        <f>SUM(AK117:AK117)</f>
        <v>0</v>
      </c>
      <c r="AL116" s="101"/>
      <c r="AM116" s="101"/>
      <c r="AN116" s="487"/>
      <c r="AO116" s="101"/>
      <c r="AP116" s="101">
        <f>SUM(AP117:AP117)</f>
        <v>0</v>
      </c>
      <c r="AQ116" s="101"/>
      <c r="AR116" s="101"/>
      <c r="AS116" s="487"/>
      <c r="AT116" s="101"/>
      <c r="AU116" s="101">
        <f>SUM(AU117:AU117)</f>
        <v>0</v>
      </c>
      <c r="AV116" s="101"/>
      <c r="AW116" s="101"/>
      <c r="AX116" s="487"/>
      <c r="AY116" s="101"/>
      <c r="AZ116" s="101">
        <f>SUM(AZ117:AZ117)</f>
        <v>0</v>
      </c>
      <c r="BA116" s="101"/>
      <c r="BB116" s="101"/>
      <c r="BC116" s="487"/>
      <c r="BD116" s="101"/>
      <c r="BE116" s="101">
        <f>SUM(BE117:BE117)</f>
        <v>0</v>
      </c>
      <c r="BF116" s="101"/>
      <c r="BG116" s="101"/>
      <c r="BH116" s="487"/>
      <c r="BI116" s="101"/>
      <c r="BJ116" s="101">
        <f>SUM(BJ117:BJ117)</f>
        <v>0</v>
      </c>
      <c r="BK116" s="101"/>
      <c r="BL116" s="101"/>
      <c r="BM116" s="487"/>
      <c r="BN116" s="101"/>
      <c r="BO116" s="101">
        <f>SUM(BO117:BO117)</f>
        <v>0</v>
      </c>
      <c r="BP116" s="101"/>
      <c r="BQ116" s="101"/>
      <c r="BR116" s="487"/>
      <c r="BS116" s="388"/>
      <c r="BT116" s="101">
        <f>SUM(BT117:BT117)</f>
        <v>0</v>
      </c>
      <c r="BU116" s="101"/>
      <c r="BV116" s="101"/>
      <c r="BW116" s="398"/>
      <c r="BX116" s="411"/>
      <c r="BY116" s="411"/>
    </row>
    <row r="117" spans="1:77" ht="12.75" x14ac:dyDescent="0.2">
      <c r="A117" s="388"/>
      <c r="B117" s="388"/>
      <c r="D117" s="398" t="s">
        <v>373</v>
      </c>
      <c r="E117" s="404"/>
      <c r="F117" s="490"/>
      <c r="G117" s="491">
        <v>0</v>
      </c>
      <c r="H117" s="492"/>
      <c r="I117" s="101"/>
      <c r="J117" s="487"/>
      <c r="K117" s="490"/>
      <c r="L117" s="491">
        <v>0</v>
      </c>
      <c r="M117" s="492"/>
      <c r="N117" s="101"/>
      <c r="O117" s="487"/>
      <c r="P117" s="493"/>
      <c r="Q117" s="491">
        <v>0</v>
      </c>
      <c r="R117" s="492"/>
      <c r="S117" s="101"/>
      <c r="T117" s="487"/>
      <c r="U117" s="493"/>
      <c r="V117" s="491">
        <v>0</v>
      </c>
      <c r="W117" s="492"/>
      <c r="X117" s="101"/>
      <c r="Y117" s="487"/>
      <c r="Z117" s="493"/>
      <c r="AA117" s="491">
        <v>0</v>
      </c>
      <c r="AB117" s="492"/>
      <c r="AC117" s="101"/>
      <c r="AD117" s="487"/>
      <c r="AE117" s="493"/>
      <c r="AF117" s="491">
        <v>0</v>
      </c>
      <c r="AG117" s="492"/>
      <c r="AH117" s="101"/>
      <c r="AI117" s="487"/>
      <c r="AJ117" s="493"/>
      <c r="AK117" s="491">
        <v>0</v>
      </c>
      <c r="AL117" s="492"/>
      <c r="AM117" s="101"/>
      <c r="AN117" s="487"/>
      <c r="AO117" s="493"/>
      <c r="AP117" s="491">
        <v>0</v>
      </c>
      <c r="AQ117" s="492"/>
      <c r="AR117" s="101"/>
      <c r="AS117" s="487"/>
      <c r="AT117" s="493"/>
      <c r="AU117" s="491">
        <v>0</v>
      </c>
      <c r="AV117" s="492"/>
      <c r="AW117" s="101"/>
      <c r="AX117" s="487"/>
      <c r="AY117" s="493"/>
      <c r="AZ117" s="491">
        <v>0</v>
      </c>
      <c r="BA117" s="492"/>
      <c r="BB117" s="101"/>
      <c r="BC117" s="487"/>
      <c r="BD117" s="493"/>
      <c r="BE117" s="491">
        <v>0</v>
      </c>
      <c r="BF117" s="492"/>
      <c r="BG117" s="101"/>
      <c r="BH117" s="487"/>
      <c r="BI117" s="493"/>
      <c r="BJ117" s="491">
        <v>0</v>
      </c>
      <c r="BK117" s="492"/>
      <c r="BL117" s="101"/>
      <c r="BM117" s="487"/>
      <c r="BN117" s="493"/>
      <c r="BO117" s="491">
        <v>0</v>
      </c>
      <c r="BP117" s="492"/>
      <c r="BQ117" s="101"/>
      <c r="BR117" s="487"/>
      <c r="BS117" s="490"/>
      <c r="BT117" s="491">
        <f>SUM(L117:BO117)</f>
        <v>0</v>
      </c>
      <c r="BU117" s="492"/>
      <c r="BV117" s="101"/>
      <c r="BW117" s="398"/>
      <c r="BX117" s="411"/>
      <c r="BY117" s="411"/>
    </row>
    <row r="118" spans="1:77" ht="12.75" x14ac:dyDescent="0.2">
      <c r="A118" s="388"/>
      <c r="B118" s="388"/>
      <c r="D118" s="398"/>
      <c r="E118" s="404"/>
      <c r="F118" s="388"/>
      <c r="G118" s="101"/>
      <c r="H118" s="101"/>
      <c r="I118" s="101"/>
      <c r="J118" s="487"/>
      <c r="K118" s="388"/>
      <c r="L118" s="101"/>
      <c r="M118" s="101"/>
      <c r="N118" s="101"/>
      <c r="O118" s="487"/>
      <c r="P118" s="388"/>
      <c r="Q118" s="101"/>
      <c r="R118" s="101"/>
      <c r="S118" s="101"/>
      <c r="T118" s="487"/>
      <c r="U118" s="388"/>
      <c r="V118" s="101"/>
      <c r="W118" s="101"/>
      <c r="X118" s="101"/>
      <c r="Y118" s="487"/>
      <c r="Z118" s="388"/>
      <c r="AA118" s="101"/>
      <c r="AB118" s="101"/>
      <c r="AC118" s="101"/>
      <c r="AD118" s="487"/>
      <c r="AE118" s="388"/>
      <c r="AF118" s="101"/>
      <c r="AG118" s="101"/>
      <c r="AH118" s="101"/>
      <c r="AI118" s="487"/>
      <c r="AJ118" s="388"/>
      <c r="AK118" s="101"/>
      <c r="AL118" s="101"/>
      <c r="AM118" s="101"/>
      <c r="AN118" s="487"/>
      <c r="AO118" s="388"/>
      <c r="AP118" s="101"/>
      <c r="AQ118" s="101"/>
      <c r="AR118" s="101"/>
      <c r="AS118" s="487"/>
      <c r="AT118" s="388"/>
      <c r="AU118" s="101"/>
      <c r="AV118" s="101"/>
      <c r="AW118" s="101"/>
      <c r="AX118" s="487"/>
      <c r="AY118" s="388"/>
      <c r="AZ118" s="101"/>
      <c r="BA118" s="101"/>
      <c r="BB118" s="101"/>
      <c r="BC118" s="487"/>
      <c r="BD118" s="388"/>
      <c r="BE118" s="101"/>
      <c r="BF118" s="101"/>
      <c r="BG118" s="101"/>
      <c r="BH118" s="487"/>
      <c r="BI118" s="388"/>
      <c r="BJ118" s="101"/>
      <c r="BK118" s="101"/>
      <c r="BL118" s="101"/>
      <c r="BM118" s="487"/>
      <c r="BN118" s="388"/>
      <c r="BO118" s="101"/>
      <c r="BP118" s="101"/>
      <c r="BQ118" s="101"/>
      <c r="BR118" s="487"/>
      <c r="BS118" s="388"/>
      <c r="BT118" s="101"/>
      <c r="BU118" s="101"/>
      <c r="BV118" s="101"/>
      <c r="BW118" s="398"/>
      <c r="BX118" s="411"/>
      <c r="BY118" s="411"/>
    </row>
    <row r="119" spans="1:77" ht="12.75" x14ac:dyDescent="0.2">
      <c r="A119" s="388"/>
      <c r="B119" s="388"/>
      <c r="D119" s="398" t="s">
        <v>401</v>
      </c>
      <c r="E119" s="404"/>
      <c r="F119" s="388"/>
      <c r="G119" s="101">
        <f>SUM(G120:G120)</f>
        <v>0</v>
      </c>
      <c r="H119" s="101"/>
      <c r="I119" s="101"/>
      <c r="J119" s="487"/>
      <c r="K119" s="101"/>
      <c r="L119" s="101">
        <f>SUM(L120:L120)</f>
        <v>0</v>
      </c>
      <c r="M119" s="101"/>
      <c r="N119" s="101"/>
      <c r="O119" s="487"/>
      <c r="P119" s="101"/>
      <c r="Q119" s="101">
        <f>SUM(Q120:Q120)</f>
        <v>0</v>
      </c>
      <c r="R119" s="101"/>
      <c r="S119" s="101"/>
      <c r="T119" s="487"/>
      <c r="U119" s="101"/>
      <c r="V119" s="101">
        <f>SUM(V120:V120)</f>
        <v>0</v>
      </c>
      <c r="W119" s="101"/>
      <c r="X119" s="101"/>
      <c r="Y119" s="487"/>
      <c r="Z119" s="101"/>
      <c r="AA119" s="101">
        <f>SUM(AA120:AA120)</f>
        <v>0</v>
      </c>
      <c r="AB119" s="101"/>
      <c r="AC119" s="101"/>
      <c r="AD119" s="487"/>
      <c r="AE119" s="101"/>
      <c r="AF119" s="101">
        <f>SUM(AF120:AF120)</f>
        <v>0</v>
      </c>
      <c r="AG119" s="101"/>
      <c r="AH119" s="101"/>
      <c r="AI119" s="487"/>
      <c r="AJ119" s="101"/>
      <c r="AK119" s="101">
        <f>SUM(AK120:AK120)</f>
        <v>0</v>
      </c>
      <c r="AL119" s="101"/>
      <c r="AM119" s="101"/>
      <c r="AN119" s="487"/>
      <c r="AO119" s="101"/>
      <c r="AP119" s="101">
        <f>SUM(AP120:AP120)</f>
        <v>0</v>
      </c>
      <c r="AQ119" s="101"/>
      <c r="AR119" s="101"/>
      <c r="AS119" s="487"/>
      <c r="AT119" s="101"/>
      <c r="AU119" s="101">
        <f>SUM(AU120:AU120)</f>
        <v>0</v>
      </c>
      <c r="AV119" s="101"/>
      <c r="AW119" s="101"/>
      <c r="AX119" s="487"/>
      <c r="AY119" s="101"/>
      <c r="AZ119" s="101">
        <f>SUM(AZ120:AZ120)</f>
        <v>0</v>
      </c>
      <c r="BA119" s="101"/>
      <c r="BB119" s="101"/>
      <c r="BC119" s="487"/>
      <c r="BD119" s="101"/>
      <c r="BE119" s="101">
        <f>SUM(BE120:BE120)</f>
        <v>0</v>
      </c>
      <c r="BF119" s="101"/>
      <c r="BG119" s="101"/>
      <c r="BH119" s="487"/>
      <c r="BI119" s="101"/>
      <c r="BJ119" s="101">
        <f>SUM(BJ120:BJ120)</f>
        <v>0</v>
      </c>
      <c r="BK119" s="101"/>
      <c r="BL119" s="101"/>
      <c r="BM119" s="487"/>
      <c r="BN119" s="101"/>
      <c r="BO119" s="101">
        <f>SUM(BO120:BO120)</f>
        <v>0</v>
      </c>
      <c r="BP119" s="101"/>
      <c r="BQ119" s="101"/>
      <c r="BR119" s="487"/>
      <c r="BS119" s="388"/>
      <c r="BT119" s="101">
        <f>SUM(BT120:BT120)</f>
        <v>0</v>
      </c>
      <c r="BU119" s="101"/>
      <c r="BV119" s="101"/>
      <c r="BW119" s="398"/>
      <c r="BX119" s="411"/>
      <c r="BY119" s="411"/>
    </row>
    <row r="120" spans="1:77" ht="12.75" x14ac:dyDescent="0.2">
      <c r="A120" s="388"/>
      <c r="B120" s="388"/>
      <c r="D120" s="398" t="s">
        <v>373</v>
      </c>
      <c r="E120" s="404"/>
      <c r="F120" s="490"/>
      <c r="G120" s="491">
        <v>0</v>
      </c>
      <c r="H120" s="492"/>
      <c r="I120" s="101"/>
      <c r="J120" s="487"/>
      <c r="K120" s="490"/>
      <c r="L120" s="491">
        <v>0</v>
      </c>
      <c r="M120" s="492"/>
      <c r="N120" s="101"/>
      <c r="O120" s="487"/>
      <c r="P120" s="493"/>
      <c r="Q120" s="491">
        <v>0</v>
      </c>
      <c r="R120" s="492"/>
      <c r="S120" s="101"/>
      <c r="T120" s="487"/>
      <c r="U120" s="493"/>
      <c r="V120" s="491">
        <v>0</v>
      </c>
      <c r="W120" s="492"/>
      <c r="X120" s="101"/>
      <c r="Y120" s="487"/>
      <c r="Z120" s="493"/>
      <c r="AA120" s="491">
        <v>0</v>
      </c>
      <c r="AB120" s="492"/>
      <c r="AC120" s="101"/>
      <c r="AD120" s="487"/>
      <c r="AE120" s="493"/>
      <c r="AF120" s="491">
        <v>0</v>
      </c>
      <c r="AG120" s="492"/>
      <c r="AH120" s="101"/>
      <c r="AI120" s="487"/>
      <c r="AJ120" s="493"/>
      <c r="AK120" s="491">
        <v>0</v>
      </c>
      <c r="AL120" s="492"/>
      <c r="AM120" s="101"/>
      <c r="AN120" s="487"/>
      <c r="AO120" s="493"/>
      <c r="AP120" s="491">
        <v>0</v>
      </c>
      <c r="AQ120" s="492"/>
      <c r="AR120" s="101"/>
      <c r="AS120" s="487"/>
      <c r="AT120" s="493"/>
      <c r="AU120" s="491">
        <v>0</v>
      </c>
      <c r="AV120" s="492"/>
      <c r="AW120" s="101"/>
      <c r="AX120" s="487"/>
      <c r="AY120" s="493"/>
      <c r="AZ120" s="491">
        <v>0</v>
      </c>
      <c r="BA120" s="492"/>
      <c r="BB120" s="101"/>
      <c r="BC120" s="487"/>
      <c r="BD120" s="493"/>
      <c r="BE120" s="491">
        <v>0</v>
      </c>
      <c r="BF120" s="492"/>
      <c r="BG120" s="101"/>
      <c r="BH120" s="487"/>
      <c r="BI120" s="493"/>
      <c r="BJ120" s="491">
        <v>0</v>
      </c>
      <c r="BK120" s="492"/>
      <c r="BL120" s="101"/>
      <c r="BM120" s="487"/>
      <c r="BN120" s="493"/>
      <c r="BO120" s="491">
        <v>0</v>
      </c>
      <c r="BP120" s="492"/>
      <c r="BQ120" s="101"/>
      <c r="BR120" s="487"/>
      <c r="BS120" s="490"/>
      <c r="BT120" s="491">
        <f>SUM(L120:BO120)</f>
        <v>0</v>
      </c>
      <c r="BU120" s="492"/>
      <c r="BV120" s="101"/>
      <c r="BW120" s="398"/>
      <c r="BX120" s="411"/>
      <c r="BY120" s="411"/>
    </row>
    <row r="121" spans="1:77" ht="12.75" hidden="1" x14ac:dyDescent="0.2">
      <c r="A121" s="388"/>
      <c r="B121" s="388"/>
      <c r="D121" s="495"/>
      <c r="E121" s="404"/>
      <c r="F121" s="388"/>
      <c r="G121" s="101"/>
      <c r="H121" s="101"/>
      <c r="I121" s="101"/>
      <c r="J121" s="487"/>
      <c r="K121" s="101"/>
      <c r="L121" s="101"/>
      <c r="M121" s="101"/>
      <c r="N121" s="101"/>
      <c r="O121" s="487"/>
      <c r="P121" s="101"/>
      <c r="Q121" s="101"/>
      <c r="R121" s="101"/>
      <c r="S121" s="101"/>
      <c r="T121" s="487"/>
      <c r="U121" s="101"/>
      <c r="V121" s="101"/>
      <c r="W121" s="101"/>
      <c r="X121" s="101"/>
      <c r="Y121" s="487"/>
      <c r="Z121" s="101"/>
      <c r="AA121" s="101"/>
      <c r="AB121" s="101"/>
      <c r="AC121" s="101"/>
      <c r="AD121" s="487"/>
      <c r="AE121" s="101"/>
      <c r="AF121" s="101"/>
      <c r="AG121" s="101"/>
      <c r="AH121" s="101"/>
      <c r="AI121" s="487"/>
      <c r="AJ121" s="101"/>
      <c r="AK121" s="101"/>
      <c r="AL121" s="101"/>
      <c r="AM121" s="101"/>
      <c r="AN121" s="487"/>
      <c r="AO121" s="101"/>
      <c r="AP121" s="101"/>
      <c r="AQ121" s="101"/>
      <c r="AR121" s="101"/>
      <c r="AS121" s="487"/>
      <c r="AT121" s="101"/>
      <c r="AU121" s="101"/>
      <c r="AV121" s="101"/>
      <c r="AW121" s="101"/>
      <c r="AX121" s="487"/>
      <c r="AY121" s="101"/>
      <c r="AZ121" s="101"/>
      <c r="BA121" s="101"/>
      <c r="BB121" s="101"/>
      <c r="BC121" s="487"/>
      <c r="BD121" s="101"/>
      <c r="BE121" s="101"/>
      <c r="BF121" s="101"/>
      <c r="BG121" s="101"/>
      <c r="BH121" s="487"/>
      <c r="BI121" s="101"/>
      <c r="BJ121" s="101"/>
      <c r="BK121" s="101"/>
      <c r="BL121" s="101"/>
      <c r="BM121" s="487"/>
      <c r="BN121" s="101"/>
      <c r="BO121" s="101"/>
      <c r="BP121" s="101"/>
      <c r="BQ121" s="101"/>
      <c r="BR121" s="487"/>
      <c r="BS121" s="101"/>
      <c r="BT121" s="101"/>
      <c r="BU121" s="101"/>
      <c r="BV121" s="101"/>
      <c r="BW121" s="398"/>
      <c r="BX121" s="411"/>
      <c r="BY121" s="411"/>
    </row>
    <row r="122" spans="1:77" s="411" customFormat="1" ht="12.75" hidden="1" x14ac:dyDescent="0.2">
      <c r="A122" s="389"/>
      <c r="B122" s="389"/>
      <c r="D122" s="405" t="s">
        <v>460</v>
      </c>
      <c r="E122" s="407"/>
      <c r="F122" s="389"/>
      <c r="G122" s="482">
        <v>0</v>
      </c>
      <c r="H122" s="482"/>
      <c r="I122" s="482"/>
      <c r="J122" s="483"/>
      <c r="K122" s="482"/>
      <c r="L122" s="482">
        <f>SUM(L123:L125)</f>
        <v>0</v>
      </c>
      <c r="M122" s="482"/>
      <c r="N122" s="482"/>
      <c r="O122" s="483"/>
      <c r="P122" s="482"/>
      <c r="Q122" s="482">
        <f>SUM(Q123:Q125)</f>
        <v>0</v>
      </c>
      <c r="R122" s="482"/>
      <c r="S122" s="482"/>
      <c r="T122" s="483"/>
      <c r="U122" s="482"/>
      <c r="V122" s="482">
        <f>SUM(V123:V125)</f>
        <v>0</v>
      </c>
      <c r="W122" s="482"/>
      <c r="X122" s="482"/>
      <c r="Y122" s="483"/>
      <c r="Z122" s="482"/>
      <c r="AA122" s="482">
        <f>SUM(AA123:AA125)</f>
        <v>0</v>
      </c>
      <c r="AB122" s="482"/>
      <c r="AC122" s="482"/>
      <c r="AD122" s="483"/>
      <c r="AE122" s="482"/>
      <c r="AF122" s="482">
        <f>SUM(AF123:AF125)</f>
        <v>0</v>
      </c>
      <c r="AG122" s="482"/>
      <c r="AH122" s="482"/>
      <c r="AI122" s="483"/>
      <c r="AJ122" s="482"/>
      <c r="AK122" s="482">
        <f>SUM(AK123:AK125)</f>
        <v>0</v>
      </c>
      <c r="AL122" s="482"/>
      <c r="AM122" s="482"/>
      <c r="AN122" s="483"/>
      <c r="AO122" s="482"/>
      <c r="AP122" s="482">
        <f>SUM(AP123:AP125)</f>
        <v>0</v>
      </c>
      <c r="AQ122" s="482"/>
      <c r="AR122" s="482"/>
      <c r="AS122" s="483"/>
      <c r="AT122" s="482"/>
      <c r="AU122" s="482">
        <f>SUM(AU123:AU125)</f>
        <v>0</v>
      </c>
      <c r="AV122" s="482"/>
      <c r="AW122" s="482"/>
      <c r="AX122" s="483"/>
      <c r="AY122" s="482"/>
      <c r="AZ122" s="482">
        <f>SUM(AZ123:AZ125)</f>
        <v>0</v>
      </c>
      <c r="BA122" s="482"/>
      <c r="BB122" s="482"/>
      <c r="BC122" s="483"/>
      <c r="BD122" s="482"/>
      <c r="BE122" s="482">
        <f>SUM(BE123:BE125)</f>
        <v>0</v>
      </c>
      <c r="BF122" s="482"/>
      <c r="BG122" s="482"/>
      <c r="BH122" s="483"/>
      <c r="BI122" s="482"/>
      <c r="BJ122" s="482">
        <f>SUM(BJ123:BJ125)</f>
        <v>0</v>
      </c>
      <c r="BK122" s="482"/>
      <c r="BL122" s="482"/>
      <c r="BM122" s="483"/>
      <c r="BN122" s="482"/>
      <c r="BO122" s="482">
        <f>SUM(BO123:BO125)</f>
        <v>0</v>
      </c>
      <c r="BP122" s="482"/>
      <c r="BQ122" s="482"/>
      <c r="BR122" s="483"/>
      <c r="BS122" s="482"/>
      <c r="BT122" s="482">
        <f>SUM(BT123:BT125)</f>
        <v>0</v>
      </c>
      <c r="BU122" s="482"/>
      <c r="BV122" s="482"/>
      <c r="BW122" s="405"/>
    </row>
    <row r="123" spans="1:77" ht="12.75" hidden="1" x14ac:dyDescent="0.2">
      <c r="A123" s="388"/>
      <c r="B123" s="388"/>
      <c r="D123" s="398" t="s">
        <v>373</v>
      </c>
      <c r="E123" s="404"/>
      <c r="F123" s="412"/>
      <c r="G123" s="485">
        <f>G133+G153</f>
        <v>0</v>
      </c>
      <c r="H123" s="486"/>
      <c r="I123" s="101"/>
      <c r="J123" s="487"/>
      <c r="K123" s="488"/>
      <c r="L123" s="485">
        <f>L133+L153</f>
        <v>0</v>
      </c>
      <c r="M123" s="486"/>
      <c r="N123" s="101"/>
      <c r="O123" s="487"/>
      <c r="P123" s="488"/>
      <c r="Q123" s="485">
        <f>Q133+Q153</f>
        <v>0</v>
      </c>
      <c r="R123" s="486"/>
      <c r="S123" s="101"/>
      <c r="T123" s="487"/>
      <c r="U123" s="488"/>
      <c r="V123" s="485">
        <f>V133+V153</f>
        <v>0</v>
      </c>
      <c r="W123" s="486"/>
      <c r="X123" s="101"/>
      <c r="Y123" s="487"/>
      <c r="Z123" s="488"/>
      <c r="AA123" s="485">
        <f>AA133+AA153</f>
        <v>0</v>
      </c>
      <c r="AB123" s="486"/>
      <c r="AC123" s="101"/>
      <c r="AD123" s="487"/>
      <c r="AE123" s="488"/>
      <c r="AF123" s="485">
        <f>AF133+AF153</f>
        <v>0</v>
      </c>
      <c r="AG123" s="486"/>
      <c r="AH123" s="101"/>
      <c r="AI123" s="487"/>
      <c r="AJ123" s="488"/>
      <c r="AK123" s="485">
        <f>AK133+AK153</f>
        <v>0</v>
      </c>
      <c r="AL123" s="486"/>
      <c r="AM123" s="101"/>
      <c r="AN123" s="487"/>
      <c r="AO123" s="488"/>
      <c r="AP123" s="485">
        <f>AP133+AP153</f>
        <v>0</v>
      </c>
      <c r="AQ123" s="486"/>
      <c r="AR123" s="101"/>
      <c r="AS123" s="487"/>
      <c r="AT123" s="488"/>
      <c r="AU123" s="485">
        <f>AU133+AU153</f>
        <v>0</v>
      </c>
      <c r="AV123" s="486"/>
      <c r="AW123" s="101"/>
      <c r="AX123" s="487"/>
      <c r="AY123" s="488"/>
      <c r="AZ123" s="485">
        <f>AZ133+AZ153</f>
        <v>0</v>
      </c>
      <c r="BA123" s="486"/>
      <c r="BB123" s="101"/>
      <c r="BC123" s="487"/>
      <c r="BD123" s="488"/>
      <c r="BE123" s="485">
        <f>BE133+BE153</f>
        <v>0</v>
      </c>
      <c r="BF123" s="486"/>
      <c r="BG123" s="101"/>
      <c r="BH123" s="487"/>
      <c r="BI123" s="488"/>
      <c r="BJ123" s="485">
        <f>BJ133+BJ153</f>
        <v>0</v>
      </c>
      <c r="BK123" s="486"/>
      <c r="BL123" s="101"/>
      <c r="BM123" s="487"/>
      <c r="BN123" s="488"/>
      <c r="BO123" s="485">
        <f>BO133+BO153</f>
        <v>0</v>
      </c>
      <c r="BP123" s="486"/>
      <c r="BQ123" s="101"/>
      <c r="BR123" s="487"/>
      <c r="BS123" s="488"/>
      <c r="BT123" s="485">
        <f>BT133+BT128+BT153+BT138+BT143+BT148</f>
        <v>0</v>
      </c>
      <c r="BU123" s="486"/>
      <c r="BV123" s="101"/>
      <c r="BW123" s="398"/>
      <c r="BX123" s="411"/>
      <c r="BY123" s="411"/>
    </row>
    <row r="124" spans="1:77" ht="12.75" hidden="1" x14ac:dyDescent="0.2">
      <c r="A124" s="388"/>
      <c r="B124" s="388"/>
      <c r="D124" s="398" t="s">
        <v>461</v>
      </c>
      <c r="E124" s="404"/>
      <c r="F124" s="404"/>
      <c r="G124" s="101">
        <f>G134+G154</f>
        <v>0</v>
      </c>
      <c r="H124" s="49"/>
      <c r="I124" s="101"/>
      <c r="J124" s="487"/>
      <c r="K124" s="487"/>
      <c r="L124" s="101">
        <f>L134+L154</f>
        <v>0</v>
      </c>
      <c r="M124" s="49"/>
      <c r="N124" s="101"/>
      <c r="O124" s="487"/>
      <c r="P124" s="487"/>
      <c r="Q124" s="101">
        <f>Q134+Q154</f>
        <v>0</v>
      </c>
      <c r="R124" s="49"/>
      <c r="S124" s="101"/>
      <c r="T124" s="487"/>
      <c r="U124" s="487"/>
      <c r="V124" s="101">
        <f>V134+V154</f>
        <v>0</v>
      </c>
      <c r="W124" s="49"/>
      <c r="X124" s="101"/>
      <c r="Y124" s="487"/>
      <c r="Z124" s="487"/>
      <c r="AA124" s="101">
        <f>AA134+AA154</f>
        <v>0</v>
      </c>
      <c r="AB124" s="49"/>
      <c r="AC124" s="101"/>
      <c r="AD124" s="487"/>
      <c r="AE124" s="487"/>
      <c r="AF124" s="101">
        <f>AF134+AF154</f>
        <v>0</v>
      </c>
      <c r="AG124" s="49"/>
      <c r="AH124" s="101"/>
      <c r="AI124" s="487"/>
      <c r="AJ124" s="487"/>
      <c r="AK124" s="101">
        <f>AK134+AK154</f>
        <v>0</v>
      </c>
      <c r="AL124" s="49"/>
      <c r="AM124" s="101"/>
      <c r="AN124" s="487"/>
      <c r="AO124" s="487"/>
      <c r="AP124" s="101">
        <f>AP134+AP154</f>
        <v>0</v>
      </c>
      <c r="AQ124" s="49"/>
      <c r="AR124" s="101"/>
      <c r="AS124" s="487"/>
      <c r="AT124" s="487"/>
      <c r="AU124" s="101">
        <f>AU134+AU154</f>
        <v>0</v>
      </c>
      <c r="AV124" s="49"/>
      <c r="AW124" s="101"/>
      <c r="AX124" s="487"/>
      <c r="AY124" s="487"/>
      <c r="AZ124" s="101">
        <f>AZ134+AZ154</f>
        <v>0</v>
      </c>
      <c r="BA124" s="49"/>
      <c r="BB124" s="101"/>
      <c r="BC124" s="487"/>
      <c r="BD124" s="487"/>
      <c r="BE124" s="101">
        <f>BE134+BE154</f>
        <v>0</v>
      </c>
      <c r="BF124" s="49"/>
      <c r="BG124" s="101"/>
      <c r="BH124" s="487"/>
      <c r="BI124" s="487"/>
      <c r="BJ124" s="101">
        <f>BJ134+BJ154</f>
        <v>0</v>
      </c>
      <c r="BK124" s="49"/>
      <c r="BL124" s="101"/>
      <c r="BM124" s="487"/>
      <c r="BN124" s="487"/>
      <c r="BO124" s="101">
        <f>BO134+BO154</f>
        <v>0</v>
      </c>
      <c r="BP124" s="49"/>
      <c r="BQ124" s="101"/>
      <c r="BR124" s="487"/>
      <c r="BS124" s="487"/>
      <c r="BT124" s="101">
        <f>BT134+BT129+BT139+BT144+BT154+BT149</f>
        <v>0</v>
      </c>
      <c r="BU124" s="49"/>
      <c r="BV124" s="101"/>
      <c r="BW124" s="398"/>
      <c r="BX124" s="411"/>
      <c r="BY124" s="411"/>
    </row>
    <row r="125" spans="1:77" ht="12.75" hidden="1" x14ac:dyDescent="0.2">
      <c r="A125" s="388"/>
      <c r="B125" s="388"/>
      <c r="D125" s="398" t="s">
        <v>462</v>
      </c>
      <c r="E125" s="404"/>
      <c r="F125" s="427"/>
      <c r="G125" s="496">
        <f>G135+G155</f>
        <v>0</v>
      </c>
      <c r="H125" s="90"/>
      <c r="I125" s="101"/>
      <c r="J125" s="487"/>
      <c r="K125" s="497"/>
      <c r="L125" s="496">
        <f>L135+L155</f>
        <v>0</v>
      </c>
      <c r="M125" s="90"/>
      <c r="N125" s="101"/>
      <c r="O125" s="487"/>
      <c r="P125" s="497"/>
      <c r="Q125" s="496">
        <f>Q135+Q155</f>
        <v>0</v>
      </c>
      <c r="R125" s="90"/>
      <c r="S125" s="101"/>
      <c r="T125" s="487"/>
      <c r="U125" s="497"/>
      <c r="V125" s="496">
        <f>V135+V155</f>
        <v>0</v>
      </c>
      <c r="W125" s="90"/>
      <c r="X125" s="101"/>
      <c r="Y125" s="487"/>
      <c r="Z125" s="497"/>
      <c r="AA125" s="496">
        <f>AA135+AA155</f>
        <v>0</v>
      </c>
      <c r="AB125" s="90"/>
      <c r="AC125" s="101"/>
      <c r="AD125" s="487"/>
      <c r="AE125" s="497"/>
      <c r="AF125" s="496">
        <f>AF135+AF155</f>
        <v>0</v>
      </c>
      <c r="AG125" s="90"/>
      <c r="AH125" s="101"/>
      <c r="AI125" s="487"/>
      <c r="AJ125" s="497"/>
      <c r="AK125" s="496">
        <f>AK135+AK155</f>
        <v>0</v>
      </c>
      <c r="AL125" s="90"/>
      <c r="AM125" s="101"/>
      <c r="AN125" s="487"/>
      <c r="AO125" s="497"/>
      <c r="AP125" s="496">
        <f>AP135+AP155</f>
        <v>0</v>
      </c>
      <c r="AQ125" s="90"/>
      <c r="AR125" s="101"/>
      <c r="AS125" s="487"/>
      <c r="AT125" s="497"/>
      <c r="AU125" s="496">
        <f>AU135+AU155</f>
        <v>0</v>
      </c>
      <c r="AV125" s="90"/>
      <c r="AW125" s="101"/>
      <c r="AX125" s="487"/>
      <c r="AY125" s="497"/>
      <c r="AZ125" s="496">
        <f>AZ135+AZ155</f>
        <v>0</v>
      </c>
      <c r="BA125" s="90"/>
      <c r="BB125" s="101"/>
      <c r="BC125" s="487"/>
      <c r="BD125" s="497"/>
      <c r="BE125" s="496">
        <f>BE135+BE155</f>
        <v>0</v>
      </c>
      <c r="BF125" s="90"/>
      <c r="BG125" s="101"/>
      <c r="BH125" s="487"/>
      <c r="BI125" s="497"/>
      <c r="BJ125" s="496">
        <f>BJ135+BJ155</f>
        <v>0</v>
      </c>
      <c r="BK125" s="90"/>
      <c r="BL125" s="101"/>
      <c r="BM125" s="487"/>
      <c r="BN125" s="497"/>
      <c r="BO125" s="496">
        <f>BO135+BO155</f>
        <v>0</v>
      </c>
      <c r="BP125" s="90"/>
      <c r="BQ125" s="101"/>
      <c r="BR125" s="487"/>
      <c r="BS125" s="497"/>
      <c r="BT125" s="496">
        <f>BT135+BT130+BT155+BT140+BT145+BT150</f>
        <v>0</v>
      </c>
      <c r="BU125" s="90"/>
      <c r="BV125" s="101"/>
      <c r="BW125" s="398"/>
      <c r="BX125" s="411"/>
      <c r="BY125" s="411"/>
    </row>
    <row r="126" spans="1:77" ht="12.75" hidden="1" x14ac:dyDescent="0.2">
      <c r="A126" s="388"/>
      <c r="B126" s="388"/>
      <c r="D126" s="398"/>
      <c r="E126" s="404"/>
      <c r="F126" s="388"/>
      <c r="G126" s="101"/>
      <c r="H126" s="101"/>
      <c r="I126" s="101"/>
      <c r="J126" s="487"/>
      <c r="K126" s="101"/>
      <c r="L126" s="101"/>
      <c r="M126" s="101"/>
      <c r="N126" s="101"/>
      <c r="O126" s="487"/>
      <c r="P126" s="101"/>
      <c r="Q126" s="101"/>
      <c r="R126" s="101"/>
      <c r="S126" s="101"/>
      <c r="T126" s="487"/>
      <c r="U126" s="101"/>
      <c r="V126" s="101"/>
      <c r="W126" s="101"/>
      <c r="X126" s="101"/>
      <c r="Y126" s="487"/>
      <c r="Z126" s="101"/>
      <c r="AA126" s="101"/>
      <c r="AB126" s="101"/>
      <c r="AC126" s="101"/>
      <c r="AD126" s="487"/>
      <c r="AE126" s="101"/>
      <c r="AF126" s="101"/>
      <c r="AG126" s="101"/>
      <c r="AH126" s="101"/>
      <c r="AI126" s="487"/>
      <c r="AJ126" s="101"/>
      <c r="AK126" s="101"/>
      <c r="AL126" s="101"/>
      <c r="AM126" s="101"/>
      <c r="AN126" s="487"/>
      <c r="AO126" s="101"/>
      <c r="AP126" s="101"/>
      <c r="AQ126" s="101"/>
      <c r="AR126" s="101"/>
      <c r="AS126" s="487"/>
      <c r="AT126" s="101"/>
      <c r="AU126" s="101"/>
      <c r="AV126" s="101"/>
      <c r="AW126" s="101"/>
      <c r="AX126" s="487"/>
      <c r="AY126" s="101"/>
      <c r="AZ126" s="101"/>
      <c r="BA126" s="101"/>
      <c r="BB126" s="101"/>
      <c r="BC126" s="487"/>
      <c r="BD126" s="101"/>
      <c r="BE126" s="101"/>
      <c r="BF126" s="101"/>
      <c r="BG126" s="101"/>
      <c r="BH126" s="487"/>
      <c r="BI126" s="101"/>
      <c r="BJ126" s="101"/>
      <c r="BK126" s="101"/>
      <c r="BL126" s="101"/>
      <c r="BM126" s="487"/>
      <c r="BN126" s="101"/>
      <c r="BO126" s="101"/>
      <c r="BP126" s="101"/>
      <c r="BQ126" s="101"/>
      <c r="BR126" s="487"/>
      <c r="BS126" s="101"/>
      <c r="BT126" s="101"/>
      <c r="BU126" s="101"/>
      <c r="BV126" s="101"/>
      <c r="BW126" s="398"/>
      <c r="BX126" s="411"/>
      <c r="BY126" s="411"/>
    </row>
    <row r="127" spans="1:77" ht="12.75" hidden="1" x14ac:dyDescent="0.2">
      <c r="A127" s="388"/>
      <c r="B127" s="388"/>
      <c r="D127" s="398" t="s">
        <v>463</v>
      </c>
      <c r="E127" s="404"/>
      <c r="F127" s="388"/>
      <c r="G127" s="101">
        <f>SUM(G128:G130)</f>
        <v>0</v>
      </c>
      <c r="H127" s="101"/>
      <c r="I127" s="101"/>
      <c r="J127" s="487"/>
      <c r="K127" s="101"/>
      <c r="L127" s="101">
        <f>SUM(L128:L130)</f>
        <v>0</v>
      </c>
      <c r="M127" s="101"/>
      <c r="N127" s="101"/>
      <c r="O127" s="487"/>
      <c r="P127" s="101"/>
      <c r="Q127" s="101">
        <f>SUM(Q128:Q130)</f>
        <v>0</v>
      </c>
      <c r="R127" s="101"/>
      <c r="S127" s="101"/>
      <c r="T127" s="487"/>
      <c r="U127" s="101"/>
      <c r="V127" s="101">
        <f>SUM(V128:V130)</f>
        <v>0</v>
      </c>
      <c r="W127" s="101"/>
      <c r="X127" s="101"/>
      <c r="Y127" s="487"/>
      <c r="Z127" s="101"/>
      <c r="AA127" s="101">
        <f>SUM(AA128:AA130)</f>
        <v>0</v>
      </c>
      <c r="AB127" s="101"/>
      <c r="AC127" s="101"/>
      <c r="AD127" s="487"/>
      <c r="AE127" s="101"/>
      <c r="AF127" s="101">
        <f>SUM(AF128:AF130)</f>
        <v>0</v>
      </c>
      <c r="AG127" s="101"/>
      <c r="AH127" s="101"/>
      <c r="AI127" s="487"/>
      <c r="AJ127" s="101"/>
      <c r="AK127" s="101">
        <f>SUM(AK128:AK130)</f>
        <v>0</v>
      </c>
      <c r="AL127" s="101"/>
      <c r="AM127" s="101"/>
      <c r="AN127" s="487"/>
      <c r="AO127" s="101"/>
      <c r="AP127" s="101">
        <f>SUM(AP128:AP130)</f>
        <v>0</v>
      </c>
      <c r="AQ127" s="101"/>
      <c r="AR127" s="101"/>
      <c r="AS127" s="487"/>
      <c r="AT127" s="101"/>
      <c r="AU127" s="101">
        <f>SUM(AU128:AU130)</f>
        <v>0</v>
      </c>
      <c r="AV127" s="101"/>
      <c r="AW127" s="101"/>
      <c r="AX127" s="487"/>
      <c r="AY127" s="101"/>
      <c r="AZ127" s="101">
        <f>SUM(AZ128:AZ130)</f>
        <v>0</v>
      </c>
      <c r="BA127" s="101"/>
      <c r="BB127" s="101"/>
      <c r="BC127" s="487"/>
      <c r="BD127" s="101"/>
      <c r="BE127" s="101">
        <f>SUM(BE128:BE130)</f>
        <v>0</v>
      </c>
      <c r="BF127" s="101"/>
      <c r="BG127" s="101"/>
      <c r="BH127" s="487"/>
      <c r="BI127" s="101"/>
      <c r="BJ127" s="101">
        <f>SUM(BJ128:BJ130)</f>
        <v>0</v>
      </c>
      <c r="BK127" s="101"/>
      <c r="BL127" s="101"/>
      <c r="BM127" s="487"/>
      <c r="BN127" s="101"/>
      <c r="BO127" s="101">
        <f>SUM(BO128:BO130)</f>
        <v>0</v>
      </c>
      <c r="BP127" s="101"/>
      <c r="BQ127" s="101"/>
      <c r="BR127" s="487"/>
      <c r="BS127" s="101"/>
      <c r="BT127" s="101">
        <f>SUM(BT128:BT130)</f>
        <v>0</v>
      </c>
      <c r="BU127" s="101"/>
      <c r="BV127" s="101"/>
      <c r="BW127" s="398"/>
      <c r="BX127" s="411"/>
      <c r="BY127" s="411"/>
    </row>
    <row r="128" spans="1:77" ht="12.75" hidden="1" x14ac:dyDescent="0.2">
      <c r="A128" s="388"/>
      <c r="B128" s="388"/>
      <c r="D128" s="398" t="s">
        <v>373</v>
      </c>
      <c r="E128" s="404"/>
      <c r="F128" s="412"/>
      <c r="G128" s="485">
        <v>0</v>
      </c>
      <c r="H128" s="486"/>
      <c r="I128" s="101"/>
      <c r="J128" s="487"/>
      <c r="K128" s="488"/>
      <c r="L128" s="485">
        <v>0</v>
      </c>
      <c r="M128" s="486"/>
      <c r="N128" s="101"/>
      <c r="O128" s="487"/>
      <c r="P128" s="488"/>
      <c r="Q128" s="485">
        <v>0</v>
      </c>
      <c r="R128" s="486"/>
      <c r="S128" s="101"/>
      <c r="T128" s="487"/>
      <c r="U128" s="488"/>
      <c r="V128" s="485">
        <v>0</v>
      </c>
      <c r="W128" s="486"/>
      <c r="X128" s="101"/>
      <c r="Y128" s="487"/>
      <c r="Z128" s="488"/>
      <c r="AA128" s="485">
        <v>0</v>
      </c>
      <c r="AB128" s="486"/>
      <c r="AC128" s="101"/>
      <c r="AD128" s="487"/>
      <c r="AE128" s="488"/>
      <c r="AF128" s="485">
        <v>0</v>
      </c>
      <c r="AG128" s="486"/>
      <c r="AH128" s="101"/>
      <c r="AI128" s="487"/>
      <c r="AJ128" s="488"/>
      <c r="AK128" s="485">
        <v>0</v>
      </c>
      <c r="AL128" s="486"/>
      <c r="AM128" s="101"/>
      <c r="AN128" s="487"/>
      <c r="AO128" s="488"/>
      <c r="AP128" s="485">
        <v>0</v>
      </c>
      <c r="AQ128" s="486"/>
      <c r="AR128" s="101"/>
      <c r="AS128" s="487"/>
      <c r="AT128" s="488"/>
      <c r="AU128" s="485">
        <v>0</v>
      </c>
      <c r="AV128" s="486"/>
      <c r="AW128" s="101"/>
      <c r="AX128" s="487"/>
      <c r="AY128" s="488"/>
      <c r="AZ128" s="485">
        <v>0</v>
      </c>
      <c r="BA128" s="486"/>
      <c r="BB128" s="101"/>
      <c r="BC128" s="487"/>
      <c r="BD128" s="488"/>
      <c r="BE128" s="485">
        <v>0</v>
      </c>
      <c r="BF128" s="486"/>
      <c r="BG128" s="101"/>
      <c r="BH128" s="487"/>
      <c r="BI128" s="488"/>
      <c r="BJ128" s="485">
        <v>0</v>
      </c>
      <c r="BK128" s="486"/>
      <c r="BL128" s="101"/>
      <c r="BM128" s="487"/>
      <c r="BN128" s="488"/>
      <c r="BO128" s="485">
        <v>0</v>
      </c>
      <c r="BP128" s="486"/>
      <c r="BQ128" s="101"/>
      <c r="BR128" s="487"/>
      <c r="BS128" s="488"/>
      <c r="BT128" s="485">
        <f>SUM(L128:BO128)</f>
        <v>0</v>
      </c>
      <c r="BU128" s="486"/>
      <c r="BV128" s="101"/>
      <c r="BW128" s="398"/>
      <c r="BX128" s="411"/>
      <c r="BY128" s="411"/>
    </row>
    <row r="129" spans="1:77" ht="12.75" hidden="1" x14ac:dyDescent="0.2">
      <c r="A129" s="388"/>
      <c r="B129" s="388"/>
      <c r="D129" s="398" t="s">
        <v>461</v>
      </c>
      <c r="E129" s="404"/>
      <c r="F129" s="404"/>
      <c r="G129" s="101">
        <v>0</v>
      </c>
      <c r="H129" s="49"/>
      <c r="I129" s="101"/>
      <c r="J129" s="487"/>
      <c r="K129" s="487"/>
      <c r="L129" s="101">
        <v>0</v>
      </c>
      <c r="M129" s="49"/>
      <c r="N129" s="101"/>
      <c r="O129" s="487"/>
      <c r="P129" s="487"/>
      <c r="Q129" s="101">
        <v>0</v>
      </c>
      <c r="R129" s="49"/>
      <c r="S129" s="101"/>
      <c r="T129" s="487"/>
      <c r="U129" s="487"/>
      <c r="V129" s="101">
        <v>0</v>
      </c>
      <c r="W129" s="49"/>
      <c r="X129" s="101"/>
      <c r="Y129" s="487"/>
      <c r="Z129" s="487"/>
      <c r="AA129" s="101">
        <v>0</v>
      </c>
      <c r="AB129" s="49"/>
      <c r="AC129" s="101"/>
      <c r="AD129" s="487"/>
      <c r="AE129" s="487"/>
      <c r="AF129" s="101">
        <v>0</v>
      </c>
      <c r="AG129" s="49"/>
      <c r="AH129" s="101"/>
      <c r="AI129" s="487"/>
      <c r="AJ129" s="487"/>
      <c r="AK129" s="101">
        <v>0</v>
      </c>
      <c r="AL129" s="49"/>
      <c r="AM129" s="101"/>
      <c r="AN129" s="487"/>
      <c r="AO129" s="487"/>
      <c r="AP129" s="101">
        <v>0</v>
      </c>
      <c r="AQ129" s="49"/>
      <c r="AR129" s="101"/>
      <c r="AS129" s="487"/>
      <c r="AT129" s="487"/>
      <c r="AU129" s="101">
        <v>0</v>
      </c>
      <c r="AV129" s="49"/>
      <c r="AW129" s="101"/>
      <c r="AX129" s="487"/>
      <c r="AY129" s="487"/>
      <c r="AZ129" s="101">
        <v>0</v>
      </c>
      <c r="BA129" s="49"/>
      <c r="BB129" s="101"/>
      <c r="BC129" s="487"/>
      <c r="BD129" s="487"/>
      <c r="BE129" s="101">
        <v>0</v>
      </c>
      <c r="BF129" s="49"/>
      <c r="BG129" s="101"/>
      <c r="BH129" s="487"/>
      <c r="BI129" s="487"/>
      <c r="BJ129" s="101">
        <v>0</v>
      </c>
      <c r="BK129" s="49"/>
      <c r="BL129" s="101"/>
      <c r="BM129" s="487"/>
      <c r="BN129" s="487"/>
      <c r="BO129" s="101">
        <v>0</v>
      </c>
      <c r="BP129" s="49"/>
      <c r="BQ129" s="101"/>
      <c r="BR129" s="487"/>
      <c r="BS129" s="487"/>
      <c r="BT129" s="101">
        <f>SUM(L129:BO129)</f>
        <v>0</v>
      </c>
      <c r="BU129" s="49"/>
      <c r="BV129" s="101"/>
      <c r="BW129" s="398"/>
      <c r="BX129" s="411"/>
      <c r="BY129" s="411"/>
    </row>
    <row r="130" spans="1:77" ht="12.75" hidden="1" x14ac:dyDescent="0.2">
      <c r="A130" s="388"/>
      <c r="B130" s="388"/>
      <c r="D130" s="398" t="s">
        <v>462</v>
      </c>
      <c r="E130" s="404"/>
      <c r="F130" s="427"/>
      <c r="G130" s="496">
        <v>0</v>
      </c>
      <c r="H130" s="90"/>
      <c r="I130" s="101"/>
      <c r="J130" s="487"/>
      <c r="K130" s="497"/>
      <c r="L130" s="496">
        <v>0</v>
      </c>
      <c r="M130" s="90"/>
      <c r="N130" s="101"/>
      <c r="O130" s="487"/>
      <c r="P130" s="497"/>
      <c r="Q130" s="496">
        <v>0</v>
      </c>
      <c r="R130" s="90"/>
      <c r="S130" s="101"/>
      <c r="T130" s="487"/>
      <c r="U130" s="497"/>
      <c r="V130" s="496">
        <v>0</v>
      </c>
      <c r="W130" s="90"/>
      <c r="X130" s="101"/>
      <c r="Y130" s="487"/>
      <c r="Z130" s="497"/>
      <c r="AA130" s="496">
        <v>0</v>
      </c>
      <c r="AB130" s="90"/>
      <c r="AC130" s="101"/>
      <c r="AD130" s="487"/>
      <c r="AE130" s="497"/>
      <c r="AF130" s="496">
        <v>0</v>
      </c>
      <c r="AG130" s="90"/>
      <c r="AH130" s="101"/>
      <c r="AI130" s="487"/>
      <c r="AJ130" s="497"/>
      <c r="AK130" s="496">
        <v>0</v>
      </c>
      <c r="AL130" s="90"/>
      <c r="AM130" s="101"/>
      <c r="AN130" s="487"/>
      <c r="AO130" s="497"/>
      <c r="AP130" s="496">
        <v>0</v>
      </c>
      <c r="AQ130" s="90"/>
      <c r="AR130" s="101"/>
      <c r="AS130" s="487"/>
      <c r="AT130" s="497"/>
      <c r="AU130" s="496">
        <v>0</v>
      </c>
      <c r="AV130" s="90"/>
      <c r="AW130" s="101"/>
      <c r="AX130" s="487"/>
      <c r="AY130" s="497"/>
      <c r="AZ130" s="496">
        <v>0</v>
      </c>
      <c r="BA130" s="90"/>
      <c r="BB130" s="101"/>
      <c r="BC130" s="487"/>
      <c r="BD130" s="497"/>
      <c r="BE130" s="496">
        <v>0</v>
      </c>
      <c r="BF130" s="90"/>
      <c r="BG130" s="101"/>
      <c r="BH130" s="487"/>
      <c r="BI130" s="497"/>
      <c r="BJ130" s="496">
        <v>0</v>
      </c>
      <c r="BK130" s="90"/>
      <c r="BL130" s="101"/>
      <c r="BM130" s="487"/>
      <c r="BN130" s="497"/>
      <c r="BO130" s="496">
        <v>0</v>
      </c>
      <c r="BP130" s="90"/>
      <c r="BQ130" s="101"/>
      <c r="BR130" s="487"/>
      <c r="BS130" s="497"/>
      <c r="BT130" s="496">
        <f>SUM(L130:BO130)</f>
        <v>0</v>
      </c>
      <c r="BU130" s="90"/>
      <c r="BV130" s="101"/>
      <c r="BW130" s="398"/>
      <c r="BX130" s="411"/>
      <c r="BY130" s="411"/>
    </row>
    <row r="131" spans="1:77" ht="12.75" hidden="1" x14ac:dyDescent="0.2">
      <c r="A131" s="388"/>
      <c r="B131" s="388"/>
      <c r="D131" s="398"/>
      <c r="E131" s="404"/>
      <c r="F131" s="388"/>
      <c r="G131" s="101"/>
      <c r="H131" s="101"/>
      <c r="I131" s="101"/>
      <c r="J131" s="487"/>
      <c r="K131" s="101"/>
      <c r="L131" s="101"/>
      <c r="M131" s="101"/>
      <c r="N131" s="101"/>
      <c r="O131" s="487"/>
      <c r="P131" s="101"/>
      <c r="Q131" s="101"/>
      <c r="R131" s="101"/>
      <c r="S131" s="101"/>
      <c r="T131" s="487"/>
      <c r="U131" s="101"/>
      <c r="V131" s="101"/>
      <c r="W131" s="101"/>
      <c r="X131" s="101"/>
      <c r="Y131" s="487"/>
      <c r="Z131" s="101"/>
      <c r="AA131" s="101"/>
      <c r="AB131" s="101"/>
      <c r="AC131" s="101"/>
      <c r="AD131" s="487"/>
      <c r="AE131" s="101"/>
      <c r="AF131" s="101"/>
      <c r="AG131" s="101"/>
      <c r="AH131" s="101"/>
      <c r="AI131" s="487"/>
      <c r="AJ131" s="101"/>
      <c r="AK131" s="101"/>
      <c r="AL131" s="101"/>
      <c r="AM131" s="101"/>
      <c r="AN131" s="487"/>
      <c r="AO131" s="101"/>
      <c r="AP131" s="101"/>
      <c r="AQ131" s="101"/>
      <c r="AR131" s="101"/>
      <c r="AS131" s="487"/>
      <c r="AT131" s="101"/>
      <c r="AU131" s="101"/>
      <c r="AV131" s="101"/>
      <c r="AW131" s="101"/>
      <c r="AX131" s="487"/>
      <c r="AY131" s="101"/>
      <c r="AZ131" s="101"/>
      <c r="BA131" s="101"/>
      <c r="BB131" s="101"/>
      <c r="BC131" s="487"/>
      <c r="BD131" s="101"/>
      <c r="BE131" s="101"/>
      <c r="BF131" s="101"/>
      <c r="BG131" s="101"/>
      <c r="BH131" s="487"/>
      <c r="BI131" s="101"/>
      <c r="BJ131" s="101"/>
      <c r="BK131" s="101"/>
      <c r="BL131" s="101"/>
      <c r="BM131" s="487"/>
      <c r="BN131" s="101"/>
      <c r="BO131" s="101"/>
      <c r="BP131" s="101"/>
      <c r="BQ131" s="101"/>
      <c r="BR131" s="487"/>
      <c r="BS131" s="101"/>
      <c r="BT131" s="101"/>
      <c r="BU131" s="101"/>
      <c r="BV131" s="101"/>
      <c r="BW131" s="398"/>
      <c r="BX131" s="411"/>
      <c r="BY131" s="411"/>
    </row>
    <row r="132" spans="1:77" ht="12.75" hidden="1" x14ac:dyDescent="0.2">
      <c r="A132" s="388"/>
      <c r="B132" s="388"/>
      <c r="D132" s="398" t="s">
        <v>464</v>
      </c>
      <c r="E132" s="404"/>
      <c r="F132" s="388"/>
      <c r="G132" s="101">
        <f>SUM(G133:G135)</f>
        <v>0</v>
      </c>
      <c r="H132" s="101"/>
      <c r="I132" s="101"/>
      <c r="J132" s="487"/>
      <c r="K132" s="101"/>
      <c r="L132" s="101">
        <f>SUM(L133:L135)</f>
        <v>0</v>
      </c>
      <c r="M132" s="101"/>
      <c r="N132" s="101"/>
      <c r="O132" s="487"/>
      <c r="P132" s="101"/>
      <c r="Q132" s="101">
        <f>SUM(Q133:Q135)</f>
        <v>0</v>
      </c>
      <c r="R132" s="101"/>
      <c r="S132" s="101"/>
      <c r="T132" s="487"/>
      <c r="U132" s="101"/>
      <c r="V132" s="101">
        <f>SUM(V133:V135)</f>
        <v>0</v>
      </c>
      <c r="W132" s="101"/>
      <c r="X132" s="101"/>
      <c r="Y132" s="487"/>
      <c r="Z132" s="101"/>
      <c r="AA132" s="101">
        <f>SUM(AA133:AA135)</f>
        <v>0</v>
      </c>
      <c r="AB132" s="101"/>
      <c r="AC132" s="101"/>
      <c r="AD132" s="487"/>
      <c r="AE132" s="101"/>
      <c r="AF132" s="101">
        <f>SUM(AF133:AF135)</f>
        <v>0</v>
      </c>
      <c r="AG132" s="101"/>
      <c r="AH132" s="101"/>
      <c r="AI132" s="487"/>
      <c r="AJ132" s="101"/>
      <c r="AK132" s="101">
        <f>SUM(AK133:AK135)</f>
        <v>0</v>
      </c>
      <c r="AL132" s="101"/>
      <c r="AM132" s="101"/>
      <c r="AN132" s="487"/>
      <c r="AO132" s="101"/>
      <c r="AP132" s="101">
        <f>SUM(AP133:AP135)</f>
        <v>0</v>
      </c>
      <c r="AQ132" s="101"/>
      <c r="AR132" s="101"/>
      <c r="AS132" s="487"/>
      <c r="AT132" s="101"/>
      <c r="AU132" s="101">
        <f>SUM(AU133:AU135)</f>
        <v>0</v>
      </c>
      <c r="AV132" s="101"/>
      <c r="AW132" s="101"/>
      <c r="AX132" s="487"/>
      <c r="AY132" s="101"/>
      <c r="AZ132" s="101">
        <f>SUM(AZ133:AZ135)</f>
        <v>0</v>
      </c>
      <c r="BA132" s="101"/>
      <c r="BB132" s="101"/>
      <c r="BC132" s="487"/>
      <c r="BD132" s="101"/>
      <c r="BE132" s="101">
        <f>SUM(BE133:BE135)</f>
        <v>0</v>
      </c>
      <c r="BF132" s="101"/>
      <c r="BG132" s="101"/>
      <c r="BH132" s="487"/>
      <c r="BI132" s="101"/>
      <c r="BJ132" s="101">
        <f>SUM(BJ133:BJ135)</f>
        <v>0</v>
      </c>
      <c r="BK132" s="101"/>
      <c r="BL132" s="101"/>
      <c r="BM132" s="487"/>
      <c r="BN132" s="101"/>
      <c r="BO132" s="101">
        <f>SUM(BO133:BO135)</f>
        <v>0</v>
      </c>
      <c r="BP132" s="101"/>
      <c r="BQ132" s="101"/>
      <c r="BR132" s="487"/>
      <c r="BS132" s="101"/>
      <c r="BT132" s="101">
        <f>SUM(BT133:BT135)</f>
        <v>0</v>
      </c>
      <c r="BU132" s="101"/>
      <c r="BV132" s="101"/>
      <c r="BW132" s="398"/>
      <c r="BX132" s="411"/>
      <c r="BY132" s="411"/>
    </row>
    <row r="133" spans="1:77" ht="12.75" hidden="1" x14ac:dyDescent="0.2">
      <c r="A133" s="388"/>
      <c r="B133" s="388"/>
      <c r="D133" s="398" t="s">
        <v>373</v>
      </c>
      <c r="E133" s="404"/>
      <c r="F133" s="412"/>
      <c r="G133" s="485">
        <v>0</v>
      </c>
      <c r="H133" s="486"/>
      <c r="I133" s="101"/>
      <c r="J133" s="487"/>
      <c r="K133" s="488"/>
      <c r="L133" s="485">
        <v>0</v>
      </c>
      <c r="M133" s="486"/>
      <c r="N133" s="101"/>
      <c r="O133" s="487"/>
      <c r="P133" s="488"/>
      <c r="Q133" s="485">
        <v>0</v>
      </c>
      <c r="R133" s="486"/>
      <c r="S133" s="101"/>
      <c r="T133" s="487"/>
      <c r="U133" s="488"/>
      <c r="V133" s="485">
        <v>0</v>
      </c>
      <c r="W133" s="486"/>
      <c r="X133" s="101"/>
      <c r="Y133" s="487"/>
      <c r="Z133" s="488"/>
      <c r="AA133" s="485">
        <v>0</v>
      </c>
      <c r="AB133" s="486"/>
      <c r="AC133" s="101"/>
      <c r="AD133" s="487"/>
      <c r="AE133" s="488"/>
      <c r="AF133" s="485">
        <v>0</v>
      </c>
      <c r="AG133" s="486"/>
      <c r="AH133" s="101"/>
      <c r="AI133" s="487"/>
      <c r="AJ133" s="488"/>
      <c r="AK133" s="485">
        <v>0</v>
      </c>
      <c r="AL133" s="486"/>
      <c r="AM133" s="101"/>
      <c r="AN133" s="487"/>
      <c r="AO133" s="488"/>
      <c r="AP133" s="485">
        <v>0</v>
      </c>
      <c r="AQ133" s="486"/>
      <c r="AR133" s="101"/>
      <c r="AS133" s="487"/>
      <c r="AT133" s="488"/>
      <c r="AU133" s="485">
        <v>0</v>
      </c>
      <c r="AV133" s="486"/>
      <c r="AW133" s="101"/>
      <c r="AX133" s="487"/>
      <c r="AY133" s="488"/>
      <c r="AZ133" s="485">
        <v>0</v>
      </c>
      <c r="BA133" s="486"/>
      <c r="BB133" s="101"/>
      <c r="BC133" s="487"/>
      <c r="BD133" s="488"/>
      <c r="BE133" s="485">
        <v>0</v>
      </c>
      <c r="BF133" s="486"/>
      <c r="BG133" s="101"/>
      <c r="BH133" s="487"/>
      <c r="BI133" s="488"/>
      <c r="BJ133" s="485">
        <v>0</v>
      </c>
      <c r="BK133" s="486"/>
      <c r="BL133" s="101"/>
      <c r="BM133" s="487"/>
      <c r="BN133" s="488"/>
      <c r="BO133" s="485">
        <v>0</v>
      </c>
      <c r="BP133" s="486"/>
      <c r="BQ133" s="101"/>
      <c r="BR133" s="487"/>
      <c r="BS133" s="488"/>
      <c r="BT133" s="485">
        <f>SUM(L133:BO133)</f>
        <v>0</v>
      </c>
      <c r="BU133" s="486"/>
      <c r="BV133" s="101"/>
      <c r="BW133" s="398"/>
      <c r="BX133" s="411"/>
      <c r="BY133" s="411"/>
    </row>
    <row r="134" spans="1:77" ht="12.75" hidden="1" x14ac:dyDescent="0.2">
      <c r="A134" s="388"/>
      <c r="B134" s="388"/>
      <c r="D134" s="398" t="s">
        <v>461</v>
      </c>
      <c r="E134" s="404"/>
      <c r="F134" s="404"/>
      <c r="G134" s="101">
        <v>0</v>
      </c>
      <c r="H134" s="49"/>
      <c r="I134" s="101"/>
      <c r="J134" s="487"/>
      <c r="K134" s="487"/>
      <c r="L134" s="101">
        <v>0</v>
      </c>
      <c r="M134" s="49"/>
      <c r="N134" s="101"/>
      <c r="O134" s="487"/>
      <c r="P134" s="487"/>
      <c r="Q134" s="101">
        <v>0</v>
      </c>
      <c r="R134" s="49"/>
      <c r="S134" s="101"/>
      <c r="T134" s="487"/>
      <c r="U134" s="487"/>
      <c r="V134" s="101">
        <v>0</v>
      </c>
      <c r="W134" s="49"/>
      <c r="X134" s="101"/>
      <c r="Y134" s="487"/>
      <c r="Z134" s="487"/>
      <c r="AA134" s="101">
        <v>0</v>
      </c>
      <c r="AB134" s="49"/>
      <c r="AC134" s="101"/>
      <c r="AD134" s="487"/>
      <c r="AE134" s="487"/>
      <c r="AF134" s="101">
        <v>0</v>
      </c>
      <c r="AG134" s="49"/>
      <c r="AH134" s="101"/>
      <c r="AI134" s="487"/>
      <c r="AJ134" s="487"/>
      <c r="AK134" s="101">
        <v>0</v>
      </c>
      <c r="AL134" s="49"/>
      <c r="AM134" s="101"/>
      <c r="AN134" s="487"/>
      <c r="AO134" s="487"/>
      <c r="AP134" s="101">
        <v>0</v>
      </c>
      <c r="AQ134" s="49"/>
      <c r="AR134" s="101"/>
      <c r="AS134" s="487"/>
      <c r="AT134" s="487"/>
      <c r="AU134" s="101">
        <v>0</v>
      </c>
      <c r="AV134" s="49"/>
      <c r="AW134" s="101"/>
      <c r="AX134" s="487"/>
      <c r="AY134" s="487"/>
      <c r="AZ134" s="101">
        <v>0</v>
      </c>
      <c r="BA134" s="49"/>
      <c r="BB134" s="101"/>
      <c r="BC134" s="487"/>
      <c r="BD134" s="487"/>
      <c r="BE134" s="101">
        <v>0</v>
      </c>
      <c r="BF134" s="49"/>
      <c r="BG134" s="101"/>
      <c r="BH134" s="487"/>
      <c r="BI134" s="487"/>
      <c r="BJ134" s="101">
        <v>0</v>
      </c>
      <c r="BK134" s="49"/>
      <c r="BL134" s="101"/>
      <c r="BM134" s="487"/>
      <c r="BN134" s="487"/>
      <c r="BO134" s="101">
        <v>0</v>
      </c>
      <c r="BP134" s="49"/>
      <c r="BQ134" s="101"/>
      <c r="BR134" s="487"/>
      <c r="BS134" s="487"/>
      <c r="BT134" s="101">
        <f>SUM(L134:BO134)</f>
        <v>0</v>
      </c>
      <c r="BU134" s="49"/>
      <c r="BV134" s="101"/>
      <c r="BW134" s="398"/>
      <c r="BX134" s="411"/>
      <c r="BY134" s="411"/>
    </row>
    <row r="135" spans="1:77" ht="12.75" hidden="1" x14ac:dyDescent="0.2">
      <c r="A135" s="388"/>
      <c r="B135" s="388"/>
      <c r="D135" s="398" t="s">
        <v>462</v>
      </c>
      <c r="E135" s="404"/>
      <c r="F135" s="427"/>
      <c r="G135" s="496">
        <v>0</v>
      </c>
      <c r="H135" s="90"/>
      <c r="I135" s="101"/>
      <c r="J135" s="487"/>
      <c r="K135" s="497"/>
      <c r="L135" s="496">
        <v>0</v>
      </c>
      <c r="M135" s="90"/>
      <c r="N135" s="101"/>
      <c r="O135" s="487"/>
      <c r="P135" s="497"/>
      <c r="Q135" s="496">
        <v>0</v>
      </c>
      <c r="R135" s="90"/>
      <c r="S135" s="101"/>
      <c r="T135" s="487"/>
      <c r="U135" s="497"/>
      <c r="V135" s="496">
        <v>0</v>
      </c>
      <c r="W135" s="90"/>
      <c r="X135" s="101"/>
      <c r="Y135" s="487"/>
      <c r="Z135" s="497"/>
      <c r="AA135" s="496">
        <v>0</v>
      </c>
      <c r="AB135" s="90"/>
      <c r="AC135" s="101"/>
      <c r="AD135" s="487"/>
      <c r="AE135" s="497"/>
      <c r="AF135" s="496">
        <v>0</v>
      </c>
      <c r="AG135" s="90"/>
      <c r="AH135" s="101"/>
      <c r="AI135" s="487"/>
      <c r="AJ135" s="497"/>
      <c r="AK135" s="496">
        <v>0</v>
      </c>
      <c r="AL135" s="90"/>
      <c r="AM135" s="101"/>
      <c r="AN135" s="487"/>
      <c r="AO135" s="497"/>
      <c r="AP135" s="496">
        <v>0</v>
      </c>
      <c r="AQ135" s="90"/>
      <c r="AR135" s="101"/>
      <c r="AS135" s="487"/>
      <c r="AT135" s="497"/>
      <c r="AU135" s="496">
        <v>0</v>
      </c>
      <c r="AV135" s="90"/>
      <c r="AW135" s="101"/>
      <c r="AX135" s="487"/>
      <c r="AY135" s="497"/>
      <c r="AZ135" s="496">
        <v>0</v>
      </c>
      <c r="BA135" s="90"/>
      <c r="BB135" s="101"/>
      <c r="BC135" s="487"/>
      <c r="BD135" s="497"/>
      <c r="BE135" s="496">
        <v>0</v>
      </c>
      <c r="BF135" s="90"/>
      <c r="BG135" s="101"/>
      <c r="BH135" s="487"/>
      <c r="BI135" s="497"/>
      <c r="BJ135" s="496">
        <v>0</v>
      </c>
      <c r="BK135" s="90"/>
      <c r="BL135" s="101"/>
      <c r="BM135" s="487"/>
      <c r="BN135" s="497"/>
      <c r="BO135" s="496">
        <v>0</v>
      </c>
      <c r="BP135" s="90"/>
      <c r="BQ135" s="101"/>
      <c r="BR135" s="487"/>
      <c r="BS135" s="497"/>
      <c r="BT135" s="496">
        <f>SUM(L135:BO135)</f>
        <v>0</v>
      </c>
      <c r="BU135" s="90"/>
      <c r="BV135" s="101"/>
      <c r="BW135" s="398"/>
      <c r="BX135" s="411"/>
      <c r="BY135" s="411"/>
    </row>
    <row r="136" spans="1:77" ht="12.75" hidden="1" x14ac:dyDescent="0.2">
      <c r="A136" s="388"/>
      <c r="B136" s="388"/>
      <c r="D136" s="398"/>
      <c r="E136" s="404"/>
      <c r="F136" s="388"/>
      <c r="G136" s="101"/>
      <c r="H136" s="101"/>
      <c r="I136" s="101"/>
      <c r="J136" s="487"/>
      <c r="K136" s="101"/>
      <c r="L136" s="101"/>
      <c r="M136" s="101"/>
      <c r="N136" s="101"/>
      <c r="O136" s="487"/>
      <c r="P136" s="101"/>
      <c r="Q136" s="101"/>
      <c r="R136" s="101"/>
      <c r="S136" s="101"/>
      <c r="T136" s="487"/>
      <c r="U136" s="101"/>
      <c r="V136" s="101"/>
      <c r="W136" s="101"/>
      <c r="X136" s="101"/>
      <c r="Y136" s="487"/>
      <c r="Z136" s="101"/>
      <c r="AA136" s="101"/>
      <c r="AB136" s="101"/>
      <c r="AC136" s="101"/>
      <c r="AD136" s="487"/>
      <c r="AE136" s="101"/>
      <c r="AF136" s="101"/>
      <c r="AG136" s="101"/>
      <c r="AH136" s="101"/>
      <c r="AI136" s="487"/>
      <c r="AJ136" s="101"/>
      <c r="AK136" s="101"/>
      <c r="AL136" s="101"/>
      <c r="AM136" s="101"/>
      <c r="AN136" s="487"/>
      <c r="AO136" s="101"/>
      <c r="AP136" s="101"/>
      <c r="AQ136" s="101"/>
      <c r="AR136" s="101"/>
      <c r="AS136" s="487"/>
      <c r="AT136" s="101"/>
      <c r="AU136" s="101"/>
      <c r="AV136" s="101"/>
      <c r="AW136" s="101"/>
      <c r="AX136" s="487"/>
      <c r="AY136" s="101"/>
      <c r="AZ136" s="101"/>
      <c r="BA136" s="101"/>
      <c r="BB136" s="101"/>
      <c r="BC136" s="487"/>
      <c r="BD136" s="101"/>
      <c r="BE136" s="101"/>
      <c r="BF136" s="101"/>
      <c r="BG136" s="101"/>
      <c r="BH136" s="487"/>
      <c r="BI136" s="101"/>
      <c r="BJ136" s="101"/>
      <c r="BK136" s="101"/>
      <c r="BL136" s="101"/>
      <c r="BM136" s="487"/>
      <c r="BN136" s="101"/>
      <c r="BO136" s="101"/>
      <c r="BP136" s="101"/>
      <c r="BQ136" s="101"/>
      <c r="BR136" s="487"/>
      <c r="BS136" s="101"/>
      <c r="BT136" s="101"/>
      <c r="BU136" s="101"/>
      <c r="BV136" s="101"/>
      <c r="BW136" s="398"/>
      <c r="BX136" s="411"/>
      <c r="BY136" s="411"/>
    </row>
    <row r="137" spans="1:77" ht="12.75" hidden="1" x14ac:dyDescent="0.2">
      <c r="A137" s="388"/>
      <c r="B137" s="388"/>
      <c r="D137" s="398" t="s">
        <v>465</v>
      </c>
      <c r="E137" s="404"/>
      <c r="F137" s="388"/>
      <c r="G137" s="101">
        <f>SUM(G138:G140)</f>
        <v>0</v>
      </c>
      <c r="H137" s="101"/>
      <c r="I137" s="101"/>
      <c r="J137" s="487"/>
      <c r="K137" s="101"/>
      <c r="L137" s="101">
        <f>SUM(L138:L140)</f>
        <v>0</v>
      </c>
      <c r="M137" s="101"/>
      <c r="N137" s="101"/>
      <c r="O137" s="487"/>
      <c r="P137" s="101"/>
      <c r="Q137" s="101">
        <f>SUM(Q138:Q140)</f>
        <v>0</v>
      </c>
      <c r="R137" s="101"/>
      <c r="S137" s="101"/>
      <c r="T137" s="487"/>
      <c r="U137" s="101"/>
      <c r="V137" s="101">
        <f>SUM(V138:V140)</f>
        <v>0</v>
      </c>
      <c r="W137" s="101"/>
      <c r="X137" s="101"/>
      <c r="Y137" s="487"/>
      <c r="Z137" s="101"/>
      <c r="AA137" s="101">
        <f>SUM(AA138:AA140)</f>
        <v>0</v>
      </c>
      <c r="AB137" s="101"/>
      <c r="AC137" s="101"/>
      <c r="AD137" s="487"/>
      <c r="AE137" s="101"/>
      <c r="AF137" s="101">
        <f>SUM(AF138:AF140)</f>
        <v>0</v>
      </c>
      <c r="AG137" s="101"/>
      <c r="AH137" s="101"/>
      <c r="AI137" s="487"/>
      <c r="AJ137" s="101"/>
      <c r="AK137" s="101">
        <f>SUM(AK138:AK140)</f>
        <v>0</v>
      </c>
      <c r="AL137" s="101"/>
      <c r="AM137" s="101"/>
      <c r="AN137" s="487"/>
      <c r="AO137" s="101"/>
      <c r="AP137" s="101">
        <f>SUM(AP138:AP140)</f>
        <v>0</v>
      </c>
      <c r="AQ137" s="101"/>
      <c r="AR137" s="101"/>
      <c r="AS137" s="487"/>
      <c r="AT137" s="101"/>
      <c r="AU137" s="101">
        <f>SUM(AU138:AU140)</f>
        <v>0</v>
      </c>
      <c r="AV137" s="101"/>
      <c r="AW137" s="101"/>
      <c r="AX137" s="487"/>
      <c r="AY137" s="101"/>
      <c r="AZ137" s="101">
        <f>SUM(AZ138:AZ140)</f>
        <v>0</v>
      </c>
      <c r="BA137" s="101"/>
      <c r="BB137" s="101"/>
      <c r="BC137" s="487"/>
      <c r="BD137" s="101"/>
      <c r="BE137" s="101">
        <f>SUM(BE138:BE140)</f>
        <v>0</v>
      </c>
      <c r="BF137" s="101"/>
      <c r="BG137" s="101"/>
      <c r="BH137" s="487"/>
      <c r="BI137" s="101"/>
      <c r="BJ137" s="101">
        <f>SUM(BJ138:BJ140)</f>
        <v>0</v>
      </c>
      <c r="BK137" s="101"/>
      <c r="BL137" s="101"/>
      <c r="BM137" s="487"/>
      <c r="BN137" s="101"/>
      <c r="BO137" s="101">
        <f>SUM(BO138:BO140)</f>
        <v>0</v>
      </c>
      <c r="BP137" s="101"/>
      <c r="BQ137" s="101"/>
      <c r="BR137" s="487"/>
      <c r="BS137" s="101"/>
      <c r="BT137" s="101">
        <f>SUM(BT138:BT140)</f>
        <v>0</v>
      </c>
      <c r="BU137" s="101"/>
      <c r="BV137" s="101"/>
      <c r="BW137" s="398"/>
      <c r="BX137" s="411"/>
      <c r="BY137" s="411"/>
    </row>
    <row r="138" spans="1:77" ht="12.75" hidden="1" x14ac:dyDescent="0.2">
      <c r="A138" s="388"/>
      <c r="B138" s="388"/>
      <c r="D138" s="398" t="s">
        <v>373</v>
      </c>
      <c r="E138" s="404"/>
      <c r="F138" s="412"/>
      <c r="G138" s="485">
        <v>0</v>
      </c>
      <c r="H138" s="486"/>
      <c r="I138" s="101"/>
      <c r="J138" s="487"/>
      <c r="K138" s="488"/>
      <c r="L138" s="485">
        <v>0</v>
      </c>
      <c r="M138" s="486"/>
      <c r="N138" s="101"/>
      <c r="O138" s="487"/>
      <c r="P138" s="488"/>
      <c r="Q138" s="485">
        <v>0</v>
      </c>
      <c r="R138" s="486"/>
      <c r="S138" s="101"/>
      <c r="T138" s="487"/>
      <c r="U138" s="488"/>
      <c r="V138" s="485">
        <v>0</v>
      </c>
      <c r="W138" s="486"/>
      <c r="X138" s="101"/>
      <c r="Y138" s="487"/>
      <c r="Z138" s="488"/>
      <c r="AA138" s="485">
        <v>0</v>
      </c>
      <c r="AB138" s="486"/>
      <c r="AC138" s="101"/>
      <c r="AD138" s="487"/>
      <c r="AE138" s="488"/>
      <c r="AF138" s="485">
        <v>0</v>
      </c>
      <c r="AG138" s="486"/>
      <c r="AH138" s="101"/>
      <c r="AI138" s="487"/>
      <c r="AJ138" s="488"/>
      <c r="AK138" s="485">
        <v>0</v>
      </c>
      <c r="AL138" s="486"/>
      <c r="AM138" s="101"/>
      <c r="AN138" s="487"/>
      <c r="AO138" s="488"/>
      <c r="AP138" s="485">
        <v>0</v>
      </c>
      <c r="AQ138" s="486"/>
      <c r="AR138" s="101"/>
      <c r="AS138" s="487"/>
      <c r="AT138" s="488"/>
      <c r="AU138" s="485">
        <v>0</v>
      </c>
      <c r="AV138" s="486"/>
      <c r="AW138" s="101"/>
      <c r="AX138" s="487"/>
      <c r="AY138" s="488"/>
      <c r="AZ138" s="485">
        <v>0</v>
      </c>
      <c r="BA138" s="486"/>
      <c r="BB138" s="101"/>
      <c r="BC138" s="487"/>
      <c r="BD138" s="488"/>
      <c r="BE138" s="485">
        <v>0</v>
      </c>
      <c r="BF138" s="486"/>
      <c r="BG138" s="101"/>
      <c r="BH138" s="487"/>
      <c r="BI138" s="488"/>
      <c r="BJ138" s="485">
        <v>0</v>
      </c>
      <c r="BK138" s="486"/>
      <c r="BL138" s="101"/>
      <c r="BM138" s="487"/>
      <c r="BN138" s="488"/>
      <c r="BO138" s="485">
        <v>0</v>
      </c>
      <c r="BP138" s="486"/>
      <c r="BQ138" s="101"/>
      <c r="BR138" s="487"/>
      <c r="BS138" s="488"/>
      <c r="BT138" s="485">
        <f>SUM(L138:BO138)</f>
        <v>0</v>
      </c>
      <c r="BU138" s="486"/>
      <c r="BV138" s="101"/>
      <c r="BW138" s="398"/>
      <c r="BX138" s="411"/>
      <c r="BY138" s="411"/>
    </row>
    <row r="139" spans="1:77" ht="12.75" hidden="1" x14ac:dyDescent="0.2">
      <c r="A139" s="388"/>
      <c r="B139" s="388"/>
      <c r="D139" s="398" t="s">
        <v>461</v>
      </c>
      <c r="E139" s="404"/>
      <c r="F139" s="404"/>
      <c r="G139" s="101">
        <v>0</v>
      </c>
      <c r="H139" s="49"/>
      <c r="I139" s="101"/>
      <c r="J139" s="487"/>
      <c r="K139" s="487"/>
      <c r="L139" s="101">
        <v>0</v>
      </c>
      <c r="M139" s="49"/>
      <c r="N139" s="101"/>
      <c r="O139" s="487"/>
      <c r="P139" s="487"/>
      <c r="Q139" s="101">
        <v>0</v>
      </c>
      <c r="R139" s="49"/>
      <c r="S139" s="101"/>
      <c r="T139" s="487"/>
      <c r="U139" s="487"/>
      <c r="V139" s="101">
        <v>0</v>
      </c>
      <c r="W139" s="49"/>
      <c r="X139" s="101"/>
      <c r="Y139" s="487"/>
      <c r="Z139" s="487"/>
      <c r="AA139" s="101">
        <v>0</v>
      </c>
      <c r="AB139" s="49"/>
      <c r="AC139" s="101"/>
      <c r="AD139" s="487"/>
      <c r="AE139" s="487"/>
      <c r="AF139" s="101">
        <v>0</v>
      </c>
      <c r="AG139" s="49"/>
      <c r="AH139" s="101"/>
      <c r="AI139" s="487"/>
      <c r="AJ139" s="487"/>
      <c r="AK139" s="101">
        <v>0</v>
      </c>
      <c r="AL139" s="49"/>
      <c r="AM139" s="101"/>
      <c r="AN139" s="487"/>
      <c r="AO139" s="487"/>
      <c r="AP139" s="101">
        <v>0</v>
      </c>
      <c r="AQ139" s="49"/>
      <c r="AR139" s="101"/>
      <c r="AS139" s="487"/>
      <c r="AT139" s="487"/>
      <c r="AU139" s="101">
        <v>0</v>
      </c>
      <c r="AV139" s="49"/>
      <c r="AW139" s="101"/>
      <c r="AX139" s="487"/>
      <c r="AY139" s="487"/>
      <c r="AZ139" s="101">
        <v>0</v>
      </c>
      <c r="BA139" s="49"/>
      <c r="BB139" s="101"/>
      <c r="BC139" s="487"/>
      <c r="BD139" s="487"/>
      <c r="BE139" s="101">
        <v>0</v>
      </c>
      <c r="BF139" s="49"/>
      <c r="BG139" s="101"/>
      <c r="BH139" s="487"/>
      <c r="BI139" s="487"/>
      <c r="BJ139" s="101">
        <v>0</v>
      </c>
      <c r="BK139" s="49"/>
      <c r="BL139" s="101"/>
      <c r="BM139" s="487"/>
      <c r="BN139" s="487"/>
      <c r="BO139" s="101">
        <v>0</v>
      </c>
      <c r="BP139" s="49"/>
      <c r="BQ139" s="101"/>
      <c r="BR139" s="487"/>
      <c r="BS139" s="487"/>
      <c r="BT139" s="101">
        <f>SUM(L139:BO139)</f>
        <v>0</v>
      </c>
      <c r="BU139" s="49"/>
      <c r="BV139" s="101"/>
      <c r="BW139" s="398"/>
      <c r="BX139" s="411"/>
      <c r="BY139" s="411"/>
    </row>
    <row r="140" spans="1:77" ht="12.75" hidden="1" x14ac:dyDescent="0.2">
      <c r="A140" s="388"/>
      <c r="B140" s="388"/>
      <c r="D140" s="398" t="s">
        <v>462</v>
      </c>
      <c r="E140" s="404"/>
      <c r="F140" s="427"/>
      <c r="G140" s="496">
        <v>0</v>
      </c>
      <c r="H140" s="90"/>
      <c r="I140" s="101"/>
      <c r="J140" s="487"/>
      <c r="K140" s="497"/>
      <c r="L140" s="496">
        <v>0</v>
      </c>
      <c r="M140" s="90"/>
      <c r="N140" s="101"/>
      <c r="O140" s="487"/>
      <c r="P140" s="497"/>
      <c r="Q140" s="496">
        <v>0</v>
      </c>
      <c r="R140" s="90"/>
      <c r="S140" s="101"/>
      <c r="T140" s="487"/>
      <c r="U140" s="497"/>
      <c r="V140" s="496">
        <v>0</v>
      </c>
      <c r="W140" s="90"/>
      <c r="X140" s="101"/>
      <c r="Y140" s="487"/>
      <c r="Z140" s="497"/>
      <c r="AA140" s="496">
        <v>0</v>
      </c>
      <c r="AB140" s="90"/>
      <c r="AC140" s="101"/>
      <c r="AD140" s="487"/>
      <c r="AE140" s="497"/>
      <c r="AF140" s="496">
        <v>0</v>
      </c>
      <c r="AG140" s="90"/>
      <c r="AH140" s="101"/>
      <c r="AI140" s="487"/>
      <c r="AJ140" s="497"/>
      <c r="AK140" s="496">
        <v>0</v>
      </c>
      <c r="AL140" s="90"/>
      <c r="AM140" s="101"/>
      <c r="AN140" s="487"/>
      <c r="AO140" s="497"/>
      <c r="AP140" s="496">
        <v>0</v>
      </c>
      <c r="AQ140" s="90"/>
      <c r="AR140" s="101"/>
      <c r="AS140" s="487"/>
      <c r="AT140" s="497"/>
      <c r="AU140" s="496">
        <v>0</v>
      </c>
      <c r="AV140" s="90"/>
      <c r="AW140" s="101"/>
      <c r="AX140" s="487"/>
      <c r="AY140" s="497"/>
      <c r="AZ140" s="496">
        <v>0</v>
      </c>
      <c r="BA140" s="90"/>
      <c r="BB140" s="101"/>
      <c r="BC140" s="487"/>
      <c r="BD140" s="497"/>
      <c r="BE140" s="496">
        <v>0</v>
      </c>
      <c r="BF140" s="90"/>
      <c r="BG140" s="101"/>
      <c r="BH140" s="487"/>
      <c r="BI140" s="497"/>
      <c r="BJ140" s="496">
        <v>0</v>
      </c>
      <c r="BK140" s="90"/>
      <c r="BL140" s="101"/>
      <c r="BM140" s="487"/>
      <c r="BN140" s="497"/>
      <c r="BO140" s="496">
        <v>0</v>
      </c>
      <c r="BP140" s="90"/>
      <c r="BQ140" s="101"/>
      <c r="BR140" s="487"/>
      <c r="BS140" s="497"/>
      <c r="BT140" s="496">
        <f>SUM(L140:BO140)</f>
        <v>0</v>
      </c>
      <c r="BU140" s="90"/>
      <c r="BV140" s="101"/>
      <c r="BW140" s="398"/>
      <c r="BX140" s="411"/>
      <c r="BY140" s="411"/>
    </row>
    <row r="141" spans="1:77" ht="12.75" hidden="1" x14ac:dyDescent="0.2">
      <c r="A141" s="388"/>
      <c r="B141" s="388"/>
      <c r="D141" s="398"/>
      <c r="E141" s="404"/>
      <c r="F141" s="388"/>
      <c r="G141" s="101"/>
      <c r="H141" s="101"/>
      <c r="I141" s="101"/>
      <c r="J141" s="487"/>
      <c r="K141" s="101"/>
      <c r="L141" s="101"/>
      <c r="M141" s="101"/>
      <c r="N141" s="101"/>
      <c r="O141" s="487"/>
      <c r="P141" s="101"/>
      <c r="Q141" s="101"/>
      <c r="R141" s="101"/>
      <c r="S141" s="101"/>
      <c r="T141" s="487"/>
      <c r="U141" s="101"/>
      <c r="V141" s="101"/>
      <c r="W141" s="101"/>
      <c r="X141" s="101"/>
      <c r="Y141" s="487"/>
      <c r="Z141" s="101"/>
      <c r="AA141" s="101"/>
      <c r="AB141" s="101"/>
      <c r="AC141" s="101"/>
      <c r="AD141" s="487"/>
      <c r="AE141" s="101"/>
      <c r="AF141" s="101"/>
      <c r="AG141" s="101"/>
      <c r="AH141" s="101"/>
      <c r="AI141" s="487"/>
      <c r="AJ141" s="101"/>
      <c r="AK141" s="101"/>
      <c r="AL141" s="101"/>
      <c r="AM141" s="101"/>
      <c r="AN141" s="487"/>
      <c r="AO141" s="101"/>
      <c r="AP141" s="101"/>
      <c r="AQ141" s="101"/>
      <c r="AR141" s="101"/>
      <c r="AS141" s="487"/>
      <c r="AT141" s="101"/>
      <c r="AU141" s="101"/>
      <c r="AV141" s="101"/>
      <c r="AW141" s="101"/>
      <c r="AX141" s="487"/>
      <c r="AY141" s="101"/>
      <c r="AZ141" s="101"/>
      <c r="BA141" s="101"/>
      <c r="BB141" s="101"/>
      <c r="BC141" s="487"/>
      <c r="BD141" s="101"/>
      <c r="BE141" s="101"/>
      <c r="BF141" s="101"/>
      <c r="BG141" s="101"/>
      <c r="BH141" s="487"/>
      <c r="BI141" s="101"/>
      <c r="BJ141" s="101"/>
      <c r="BK141" s="101"/>
      <c r="BL141" s="101"/>
      <c r="BM141" s="487"/>
      <c r="BN141" s="101"/>
      <c r="BO141" s="101"/>
      <c r="BP141" s="101"/>
      <c r="BQ141" s="101"/>
      <c r="BR141" s="487"/>
      <c r="BS141" s="101"/>
      <c r="BT141" s="101"/>
      <c r="BU141" s="101"/>
      <c r="BV141" s="101"/>
      <c r="BW141" s="398"/>
      <c r="BX141" s="411"/>
      <c r="BY141" s="411"/>
    </row>
    <row r="142" spans="1:77" ht="12.75" hidden="1" x14ac:dyDescent="0.2">
      <c r="A142" s="388"/>
      <c r="B142" s="388"/>
      <c r="D142" s="398" t="s">
        <v>466</v>
      </c>
      <c r="E142" s="404"/>
      <c r="F142" s="388"/>
      <c r="G142" s="101">
        <f>SUM(G143:G145)</f>
        <v>0</v>
      </c>
      <c r="H142" s="101"/>
      <c r="I142" s="101"/>
      <c r="J142" s="487"/>
      <c r="K142" s="101"/>
      <c r="L142" s="101">
        <f>SUM(L143:L145)</f>
        <v>0</v>
      </c>
      <c r="M142" s="101"/>
      <c r="N142" s="101"/>
      <c r="O142" s="487"/>
      <c r="P142" s="101"/>
      <c r="Q142" s="101">
        <f>SUM(Q143:Q145)</f>
        <v>0</v>
      </c>
      <c r="R142" s="101"/>
      <c r="S142" s="101"/>
      <c r="T142" s="487"/>
      <c r="U142" s="101"/>
      <c r="V142" s="101">
        <f>SUM(V143:V145)</f>
        <v>0</v>
      </c>
      <c r="W142" s="101"/>
      <c r="X142" s="101"/>
      <c r="Y142" s="487"/>
      <c r="Z142" s="101"/>
      <c r="AA142" s="101">
        <f>SUM(AA143:AA145)</f>
        <v>0</v>
      </c>
      <c r="AB142" s="101"/>
      <c r="AC142" s="101"/>
      <c r="AD142" s="487"/>
      <c r="AE142" s="101"/>
      <c r="AF142" s="101">
        <f>SUM(AF143:AF145)</f>
        <v>0</v>
      </c>
      <c r="AG142" s="101"/>
      <c r="AH142" s="101"/>
      <c r="AI142" s="487"/>
      <c r="AJ142" s="101"/>
      <c r="AK142" s="101">
        <f>SUM(AK143:AK145)</f>
        <v>0</v>
      </c>
      <c r="AL142" s="101"/>
      <c r="AM142" s="101"/>
      <c r="AN142" s="487"/>
      <c r="AO142" s="101"/>
      <c r="AP142" s="101">
        <f>SUM(AP143:AP145)</f>
        <v>0</v>
      </c>
      <c r="AQ142" s="101"/>
      <c r="AR142" s="101"/>
      <c r="AS142" s="487"/>
      <c r="AT142" s="101"/>
      <c r="AU142" s="101">
        <f>SUM(AU143:AU145)</f>
        <v>0</v>
      </c>
      <c r="AV142" s="101"/>
      <c r="AW142" s="101"/>
      <c r="AX142" s="487"/>
      <c r="AY142" s="101"/>
      <c r="AZ142" s="101">
        <f>SUM(AZ143:AZ145)</f>
        <v>0</v>
      </c>
      <c r="BA142" s="101"/>
      <c r="BB142" s="101"/>
      <c r="BC142" s="487"/>
      <c r="BD142" s="101"/>
      <c r="BE142" s="101">
        <f>SUM(BE143:BE145)</f>
        <v>0</v>
      </c>
      <c r="BF142" s="101"/>
      <c r="BG142" s="101"/>
      <c r="BH142" s="487"/>
      <c r="BI142" s="101"/>
      <c r="BJ142" s="101">
        <f>SUM(BJ143:BJ145)</f>
        <v>0</v>
      </c>
      <c r="BK142" s="101"/>
      <c r="BL142" s="101"/>
      <c r="BM142" s="487"/>
      <c r="BN142" s="101"/>
      <c r="BO142" s="101">
        <f>SUM(BO143:BO145)</f>
        <v>0</v>
      </c>
      <c r="BP142" s="101"/>
      <c r="BQ142" s="101"/>
      <c r="BR142" s="487"/>
      <c r="BS142" s="101"/>
      <c r="BT142" s="101">
        <f>SUM(BT143:BT145)</f>
        <v>0</v>
      </c>
      <c r="BU142" s="101"/>
      <c r="BV142" s="101"/>
      <c r="BW142" s="398"/>
      <c r="BX142" s="411"/>
      <c r="BY142" s="411"/>
    </row>
    <row r="143" spans="1:77" ht="12.75" hidden="1" x14ac:dyDescent="0.2">
      <c r="A143" s="388"/>
      <c r="B143" s="388"/>
      <c r="D143" s="398" t="s">
        <v>373</v>
      </c>
      <c r="E143" s="404"/>
      <c r="F143" s="412"/>
      <c r="G143" s="485">
        <v>0</v>
      </c>
      <c r="H143" s="486"/>
      <c r="I143" s="101"/>
      <c r="J143" s="487"/>
      <c r="K143" s="488"/>
      <c r="L143" s="485">
        <v>0</v>
      </c>
      <c r="M143" s="486"/>
      <c r="N143" s="101"/>
      <c r="O143" s="487"/>
      <c r="P143" s="488"/>
      <c r="Q143" s="485">
        <v>0</v>
      </c>
      <c r="R143" s="486"/>
      <c r="S143" s="101"/>
      <c r="T143" s="487"/>
      <c r="U143" s="488"/>
      <c r="V143" s="485">
        <v>0</v>
      </c>
      <c r="W143" s="486"/>
      <c r="X143" s="101"/>
      <c r="Y143" s="487"/>
      <c r="Z143" s="488"/>
      <c r="AA143" s="485">
        <v>0</v>
      </c>
      <c r="AB143" s="486"/>
      <c r="AC143" s="101"/>
      <c r="AD143" s="487"/>
      <c r="AE143" s="488"/>
      <c r="AF143" s="485">
        <v>0</v>
      </c>
      <c r="AG143" s="486"/>
      <c r="AH143" s="101"/>
      <c r="AI143" s="487"/>
      <c r="AJ143" s="488"/>
      <c r="AK143" s="485">
        <v>0</v>
      </c>
      <c r="AL143" s="486"/>
      <c r="AM143" s="101"/>
      <c r="AN143" s="487"/>
      <c r="AO143" s="488"/>
      <c r="AP143" s="485">
        <v>0</v>
      </c>
      <c r="AQ143" s="486"/>
      <c r="AR143" s="101"/>
      <c r="AS143" s="487"/>
      <c r="AT143" s="488"/>
      <c r="AU143" s="485">
        <v>0</v>
      </c>
      <c r="AV143" s="486"/>
      <c r="AW143" s="101"/>
      <c r="AX143" s="487"/>
      <c r="AY143" s="488"/>
      <c r="AZ143" s="485">
        <v>0</v>
      </c>
      <c r="BA143" s="486"/>
      <c r="BB143" s="101"/>
      <c r="BC143" s="487"/>
      <c r="BD143" s="488"/>
      <c r="BE143" s="485">
        <v>0</v>
      </c>
      <c r="BF143" s="486"/>
      <c r="BG143" s="101"/>
      <c r="BH143" s="487"/>
      <c r="BI143" s="488"/>
      <c r="BJ143" s="485">
        <v>0</v>
      </c>
      <c r="BK143" s="486"/>
      <c r="BL143" s="101"/>
      <c r="BM143" s="487"/>
      <c r="BN143" s="488"/>
      <c r="BO143" s="485">
        <v>0</v>
      </c>
      <c r="BP143" s="486"/>
      <c r="BQ143" s="101"/>
      <c r="BR143" s="487"/>
      <c r="BS143" s="488"/>
      <c r="BT143" s="485">
        <f>SUM(L143:BO143)</f>
        <v>0</v>
      </c>
      <c r="BU143" s="486"/>
      <c r="BV143" s="101"/>
      <c r="BW143" s="398"/>
      <c r="BX143" s="411"/>
      <c r="BY143" s="411"/>
    </row>
    <row r="144" spans="1:77" ht="12.75" hidden="1" x14ac:dyDescent="0.2">
      <c r="A144" s="388"/>
      <c r="B144" s="388"/>
      <c r="D144" s="398" t="s">
        <v>461</v>
      </c>
      <c r="E144" s="404"/>
      <c r="F144" s="404"/>
      <c r="G144" s="101">
        <v>0</v>
      </c>
      <c r="H144" s="49"/>
      <c r="I144" s="101"/>
      <c r="J144" s="487"/>
      <c r="K144" s="487"/>
      <c r="L144" s="101">
        <v>0</v>
      </c>
      <c r="M144" s="49"/>
      <c r="N144" s="101"/>
      <c r="O144" s="487"/>
      <c r="P144" s="487"/>
      <c r="Q144" s="101">
        <v>0</v>
      </c>
      <c r="R144" s="49"/>
      <c r="S144" s="101"/>
      <c r="T144" s="487"/>
      <c r="U144" s="487"/>
      <c r="V144" s="101">
        <v>0</v>
      </c>
      <c r="W144" s="49"/>
      <c r="X144" s="101"/>
      <c r="Y144" s="487"/>
      <c r="Z144" s="487"/>
      <c r="AA144" s="101">
        <v>0</v>
      </c>
      <c r="AB144" s="49"/>
      <c r="AC144" s="101"/>
      <c r="AD144" s="487"/>
      <c r="AE144" s="487"/>
      <c r="AF144" s="101">
        <v>0</v>
      </c>
      <c r="AG144" s="49"/>
      <c r="AH144" s="101"/>
      <c r="AI144" s="487"/>
      <c r="AJ144" s="487"/>
      <c r="AK144" s="101">
        <v>0</v>
      </c>
      <c r="AL144" s="49"/>
      <c r="AM144" s="101"/>
      <c r="AN144" s="487"/>
      <c r="AO144" s="487"/>
      <c r="AP144" s="101">
        <v>0</v>
      </c>
      <c r="AQ144" s="49"/>
      <c r="AR144" s="101"/>
      <c r="AS144" s="487"/>
      <c r="AT144" s="487"/>
      <c r="AU144" s="101">
        <v>0</v>
      </c>
      <c r="AV144" s="49"/>
      <c r="AW144" s="101"/>
      <c r="AX144" s="487"/>
      <c r="AY144" s="487"/>
      <c r="AZ144" s="101">
        <v>0</v>
      </c>
      <c r="BA144" s="49"/>
      <c r="BB144" s="101"/>
      <c r="BC144" s="487"/>
      <c r="BD144" s="487"/>
      <c r="BE144" s="101">
        <v>0</v>
      </c>
      <c r="BF144" s="49"/>
      <c r="BG144" s="101"/>
      <c r="BH144" s="487"/>
      <c r="BI144" s="487"/>
      <c r="BJ144" s="101">
        <v>0</v>
      </c>
      <c r="BK144" s="49"/>
      <c r="BL144" s="101"/>
      <c r="BM144" s="487"/>
      <c r="BN144" s="487"/>
      <c r="BO144" s="101">
        <v>0</v>
      </c>
      <c r="BP144" s="49"/>
      <c r="BQ144" s="101"/>
      <c r="BR144" s="487"/>
      <c r="BS144" s="487"/>
      <c r="BT144" s="101">
        <f>SUM(L144:BO144)</f>
        <v>0</v>
      </c>
      <c r="BU144" s="49"/>
      <c r="BV144" s="101"/>
      <c r="BW144" s="398"/>
      <c r="BX144" s="411"/>
      <c r="BY144" s="411"/>
    </row>
    <row r="145" spans="1:77" ht="12.75" hidden="1" x14ac:dyDescent="0.2">
      <c r="A145" s="388"/>
      <c r="B145" s="388"/>
      <c r="D145" s="398" t="s">
        <v>462</v>
      </c>
      <c r="E145" s="404"/>
      <c r="F145" s="427"/>
      <c r="G145" s="496">
        <v>0</v>
      </c>
      <c r="H145" s="90"/>
      <c r="I145" s="101"/>
      <c r="J145" s="487"/>
      <c r="K145" s="497"/>
      <c r="L145" s="496">
        <v>0</v>
      </c>
      <c r="M145" s="90"/>
      <c r="N145" s="101"/>
      <c r="O145" s="487"/>
      <c r="P145" s="497"/>
      <c r="Q145" s="496">
        <v>0</v>
      </c>
      <c r="R145" s="90"/>
      <c r="S145" s="101"/>
      <c r="T145" s="487"/>
      <c r="U145" s="497"/>
      <c r="V145" s="496">
        <v>0</v>
      </c>
      <c r="W145" s="90"/>
      <c r="X145" s="101"/>
      <c r="Y145" s="487"/>
      <c r="Z145" s="497"/>
      <c r="AA145" s="496">
        <v>0</v>
      </c>
      <c r="AB145" s="90"/>
      <c r="AC145" s="101"/>
      <c r="AD145" s="487"/>
      <c r="AE145" s="497"/>
      <c r="AF145" s="496">
        <v>0</v>
      </c>
      <c r="AG145" s="90"/>
      <c r="AH145" s="101"/>
      <c r="AI145" s="487"/>
      <c r="AJ145" s="497"/>
      <c r="AK145" s="496">
        <v>0</v>
      </c>
      <c r="AL145" s="90"/>
      <c r="AM145" s="101"/>
      <c r="AN145" s="487"/>
      <c r="AO145" s="497"/>
      <c r="AP145" s="496">
        <v>0</v>
      </c>
      <c r="AQ145" s="90"/>
      <c r="AR145" s="101"/>
      <c r="AS145" s="487"/>
      <c r="AT145" s="497"/>
      <c r="AU145" s="496">
        <v>0</v>
      </c>
      <c r="AV145" s="90"/>
      <c r="AW145" s="101"/>
      <c r="AX145" s="487"/>
      <c r="AY145" s="497"/>
      <c r="AZ145" s="496">
        <v>0</v>
      </c>
      <c r="BA145" s="90"/>
      <c r="BB145" s="101"/>
      <c r="BC145" s="487"/>
      <c r="BD145" s="497"/>
      <c r="BE145" s="496">
        <v>0</v>
      </c>
      <c r="BF145" s="90"/>
      <c r="BG145" s="101"/>
      <c r="BH145" s="487"/>
      <c r="BI145" s="497"/>
      <c r="BJ145" s="496">
        <v>0</v>
      </c>
      <c r="BK145" s="90"/>
      <c r="BL145" s="101"/>
      <c r="BM145" s="487"/>
      <c r="BN145" s="497"/>
      <c r="BO145" s="496">
        <v>0</v>
      </c>
      <c r="BP145" s="90"/>
      <c r="BQ145" s="101"/>
      <c r="BR145" s="487"/>
      <c r="BS145" s="497"/>
      <c r="BT145" s="496">
        <f>SUM(L145:BO145)</f>
        <v>0</v>
      </c>
      <c r="BU145" s="90"/>
      <c r="BV145" s="101"/>
      <c r="BW145" s="398"/>
      <c r="BX145" s="411"/>
      <c r="BY145" s="411"/>
    </row>
    <row r="146" spans="1:77" ht="12.75" hidden="1" x14ac:dyDescent="0.2">
      <c r="A146" s="388"/>
      <c r="B146" s="388"/>
      <c r="D146" s="398"/>
      <c r="E146" s="404"/>
      <c r="F146" s="388"/>
      <c r="G146" s="101"/>
      <c r="H146" s="101"/>
      <c r="I146" s="101"/>
      <c r="J146" s="487"/>
      <c r="K146" s="101"/>
      <c r="L146" s="101"/>
      <c r="M146" s="101"/>
      <c r="N146" s="101"/>
      <c r="O146" s="487"/>
      <c r="P146" s="101"/>
      <c r="Q146" s="101"/>
      <c r="R146" s="101"/>
      <c r="S146" s="101"/>
      <c r="T146" s="487"/>
      <c r="U146" s="101"/>
      <c r="V146" s="101"/>
      <c r="W146" s="101"/>
      <c r="X146" s="101"/>
      <c r="Y146" s="487"/>
      <c r="Z146" s="101"/>
      <c r="AA146" s="101"/>
      <c r="AB146" s="101"/>
      <c r="AC146" s="101"/>
      <c r="AD146" s="487"/>
      <c r="AE146" s="101"/>
      <c r="AF146" s="101"/>
      <c r="AG146" s="101"/>
      <c r="AH146" s="101"/>
      <c r="AI146" s="487"/>
      <c r="AJ146" s="101"/>
      <c r="AK146" s="101"/>
      <c r="AL146" s="101"/>
      <c r="AM146" s="101"/>
      <c r="AN146" s="487"/>
      <c r="AO146" s="101"/>
      <c r="AP146" s="101"/>
      <c r="AQ146" s="101"/>
      <c r="AR146" s="101"/>
      <c r="AS146" s="487"/>
      <c r="AT146" s="101"/>
      <c r="AU146" s="101"/>
      <c r="AV146" s="101"/>
      <c r="AW146" s="101"/>
      <c r="AX146" s="487"/>
      <c r="AY146" s="101"/>
      <c r="AZ146" s="101"/>
      <c r="BA146" s="101"/>
      <c r="BB146" s="101"/>
      <c r="BC146" s="487"/>
      <c r="BD146" s="101"/>
      <c r="BE146" s="101"/>
      <c r="BF146" s="101"/>
      <c r="BG146" s="101"/>
      <c r="BH146" s="487"/>
      <c r="BI146" s="101"/>
      <c r="BJ146" s="101"/>
      <c r="BK146" s="101"/>
      <c r="BL146" s="101"/>
      <c r="BM146" s="487"/>
      <c r="BN146" s="101"/>
      <c r="BO146" s="101"/>
      <c r="BP146" s="101"/>
      <c r="BQ146" s="101"/>
      <c r="BR146" s="487"/>
      <c r="BS146" s="101"/>
      <c r="BT146" s="101"/>
      <c r="BU146" s="101"/>
      <c r="BV146" s="101"/>
      <c r="BW146" s="398"/>
      <c r="BX146" s="411"/>
      <c r="BY146" s="411"/>
    </row>
    <row r="147" spans="1:77" ht="12.75" hidden="1" x14ac:dyDescent="0.2">
      <c r="A147" s="388"/>
      <c r="B147" s="388"/>
      <c r="D147" s="398" t="s">
        <v>467</v>
      </c>
      <c r="E147" s="404"/>
      <c r="F147" s="388"/>
      <c r="G147" s="101">
        <f>SUM(G148:G150)</f>
        <v>0</v>
      </c>
      <c r="H147" s="101"/>
      <c r="I147" s="101"/>
      <c r="J147" s="487"/>
      <c r="K147" s="101"/>
      <c r="L147" s="101">
        <f>SUM(L148:L150)</f>
        <v>0</v>
      </c>
      <c r="M147" s="101"/>
      <c r="N147" s="101"/>
      <c r="O147" s="487"/>
      <c r="P147" s="101"/>
      <c r="Q147" s="101">
        <f>SUM(Q148:Q150)</f>
        <v>0</v>
      </c>
      <c r="R147" s="101"/>
      <c r="S147" s="101"/>
      <c r="T147" s="487"/>
      <c r="U147" s="101"/>
      <c r="V147" s="101">
        <f>SUM(V148:V150)</f>
        <v>0</v>
      </c>
      <c r="W147" s="101"/>
      <c r="X147" s="101"/>
      <c r="Y147" s="487"/>
      <c r="Z147" s="101"/>
      <c r="AA147" s="101">
        <f>SUM(AA148:AA150)</f>
        <v>0</v>
      </c>
      <c r="AB147" s="101"/>
      <c r="AC147" s="101"/>
      <c r="AD147" s="487"/>
      <c r="AE147" s="101"/>
      <c r="AF147" s="101">
        <f>SUM(AF148:AF150)</f>
        <v>0</v>
      </c>
      <c r="AG147" s="101"/>
      <c r="AH147" s="101"/>
      <c r="AI147" s="487"/>
      <c r="AJ147" s="101"/>
      <c r="AK147" s="101">
        <f>SUM(AK148:AK150)</f>
        <v>0</v>
      </c>
      <c r="AL147" s="101"/>
      <c r="AM147" s="101"/>
      <c r="AN147" s="487"/>
      <c r="AO147" s="101"/>
      <c r="AP147" s="101">
        <f>SUM(AP148:AP150)</f>
        <v>0</v>
      </c>
      <c r="AQ147" s="101"/>
      <c r="AR147" s="101"/>
      <c r="AS147" s="487"/>
      <c r="AT147" s="101"/>
      <c r="AU147" s="101">
        <f>SUM(AU148:AU150)</f>
        <v>0</v>
      </c>
      <c r="AV147" s="101"/>
      <c r="AW147" s="101"/>
      <c r="AX147" s="487"/>
      <c r="AY147" s="101"/>
      <c r="AZ147" s="101">
        <f>SUM(AZ148:AZ150)</f>
        <v>0</v>
      </c>
      <c r="BA147" s="101"/>
      <c r="BB147" s="101"/>
      <c r="BC147" s="487"/>
      <c r="BD147" s="101"/>
      <c r="BE147" s="101">
        <f>SUM(BE148:BE150)</f>
        <v>0</v>
      </c>
      <c r="BF147" s="101"/>
      <c r="BG147" s="101"/>
      <c r="BH147" s="487"/>
      <c r="BI147" s="101"/>
      <c r="BJ147" s="101">
        <f>SUM(BJ148:BJ150)</f>
        <v>0</v>
      </c>
      <c r="BK147" s="101"/>
      <c r="BL147" s="101"/>
      <c r="BM147" s="487"/>
      <c r="BN147" s="101"/>
      <c r="BO147" s="101">
        <f>SUM(BO148:BO150)</f>
        <v>0</v>
      </c>
      <c r="BP147" s="101"/>
      <c r="BQ147" s="101"/>
      <c r="BR147" s="487"/>
      <c r="BS147" s="101"/>
      <c r="BT147" s="101">
        <f>SUM(BT148:BT150)</f>
        <v>0</v>
      </c>
      <c r="BU147" s="101"/>
      <c r="BV147" s="101"/>
      <c r="BW147" s="398"/>
      <c r="BX147" s="411"/>
      <c r="BY147" s="411"/>
    </row>
    <row r="148" spans="1:77" ht="12.75" hidden="1" x14ac:dyDescent="0.2">
      <c r="A148" s="388"/>
      <c r="B148" s="388"/>
      <c r="D148" s="398" t="s">
        <v>373</v>
      </c>
      <c r="E148" s="404"/>
      <c r="F148" s="412"/>
      <c r="G148" s="485">
        <v>0</v>
      </c>
      <c r="H148" s="486"/>
      <c r="I148" s="101"/>
      <c r="J148" s="487"/>
      <c r="K148" s="488"/>
      <c r="L148" s="485">
        <v>0</v>
      </c>
      <c r="M148" s="486"/>
      <c r="N148" s="101"/>
      <c r="O148" s="487"/>
      <c r="P148" s="488"/>
      <c r="Q148" s="485">
        <v>0</v>
      </c>
      <c r="R148" s="486"/>
      <c r="S148" s="101"/>
      <c r="T148" s="487"/>
      <c r="U148" s="488"/>
      <c r="V148" s="485">
        <v>0</v>
      </c>
      <c r="W148" s="486"/>
      <c r="X148" s="101"/>
      <c r="Y148" s="487"/>
      <c r="Z148" s="488"/>
      <c r="AA148" s="485">
        <v>0</v>
      </c>
      <c r="AB148" s="486"/>
      <c r="AC148" s="101"/>
      <c r="AD148" s="487"/>
      <c r="AE148" s="488"/>
      <c r="AF148" s="485">
        <v>0</v>
      </c>
      <c r="AG148" s="486"/>
      <c r="AH148" s="101"/>
      <c r="AI148" s="487"/>
      <c r="AJ148" s="488"/>
      <c r="AK148" s="485">
        <v>0</v>
      </c>
      <c r="AL148" s="486"/>
      <c r="AM148" s="101"/>
      <c r="AN148" s="487"/>
      <c r="AO148" s="488"/>
      <c r="AP148" s="485">
        <v>0</v>
      </c>
      <c r="AQ148" s="486"/>
      <c r="AR148" s="101"/>
      <c r="AS148" s="487"/>
      <c r="AT148" s="488"/>
      <c r="AU148" s="485">
        <v>0</v>
      </c>
      <c r="AV148" s="486"/>
      <c r="AW148" s="101"/>
      <c r="AX148" s="487"/>
      <c r="AY148" s="488"/>
      <c r="AZ148" s="485">
        <v>0</v>
      </c>
      <c r="BA148" s="486"/>
      <c r="BB148" s="101"/>
      <c r="BC148" s="487"/>
      <c r="BD148" s="488"/>
      <c r="BE148" s="485">
        <v>0</v>
      </c>
      <c r="BF148" s="486"/>
      <c r="BG148" s="101"/>
      <c r="BH148" s="487"/>
      <c r="BI148" s="488"/>
      <c r="BJ148" s="485">
        <v>0</v>
      </c>
      <c r="BK148" s="486"/>
      <c r="BL148" s="101"/>
      <c r="BM148" s="487"/>
      <c r="BN148" s="488"/>
      <c r="BO148" s="485">
        <v>0</v>
      </c>
      <c r="BP148" s="486"/>
      <c r="BQ148" s="101"/>
      <c r="BR148" s="487"/>
      <c r="BS148" s="488"/>
      <c r="BT148" s="485">
        <f>SUM(L148:BO148)</f>
        <v>0</v>
      </c>
      <c r="BU148" s="486"/>
      <c r="BV148" s="101"/>
      <c r="BW148" s="398"/>
      <c r="BX148" s="411"/>
      <c r="BY148" s="411"/>
    </row>
    <row r="149" spans="1:77" ht="12.75" hidden="1" x14ac:dyDescent="0.2">
      <c r="A149" s="388"/>
      <c r="B149" s="388"/>
      <c r="D149" s="398" t="s">
        <v>461</v>
      </c>
      <c r="E149" s="404"/>
      <c r="F149" s="404"/>
      <c r="G149" s="101">
        <v>0</v>
      </c>
      <c r="H149" s="49"/>
      <c r="I149" s="101"/>
      <c r="J149" s="487"/>
      <c r="K149" s="487"/>
      <c r="L149" s="101">
        <v>0</v>
      </c>
      <c r="M149" s="49"/>
      <c r="N149" s="101"/>
      <c r="O149" s="487"/>
      <c r="P149" s="487"/>
      <c r="Q149" s="101">
        <v>0</v>
      </c>
      <c r="R149" s="49"/>
      <c r="S149" s="101"/>
      <c r="T149" s="487"/>
      <c r="U149" s="487"/>
      <c r="V149" s="101">
        <v>0</v>
      </c>
      <c r="W149" s="49"/>
      <c r="X149" s="101"/>
      <c r="Y149" s="487"/>
      <c r="Z149" s="487"/>
      <c r="AA149" s="101">
        <v>0</v>
      </c>
      <c r="AB149" s="49"/>
      <c r="AC149" s="101"/>
      <c r="AD149" s="487"/>
      <c r="AE149" s="487"/>
      <c r="AF149" s="101">
        <v>0</v>
      </c>
      <c r="AG149" s="49"/>
      <c r="AH149" s="101"/>
      <c r="AI149" s="487"/>
      <c r="AJ149" s="487"/>
      <c r="AK149" s="101">
        <v>0</v>
      </c>
      <c r="AL149" s="49"/>
      <c r="AM149" s="101"/>
      <c r="AN149" s="487"/>
      <c r="AO149" s="487"/>
      <c r="AP149" s="101">
        <v>0</v>
      </c>
      <c r="AQ149" s="49"/>
      <c r="AR149" s="101"/>
      <c r="AS149" s="487"/>
      <c r="AT149" s="487"/>
      <c r="AU149" s="101">
        <v>0</v>
      </c>
      <c r="AV149" s="49"/>
      <c r="AW149" s="101"/>
      <c r="AX149" s="487"/>
      <c r="AY149" s="487"/>
      <c r="AZ149" s="101">
        <v>0</v>
      </c>
      <c r="BA149" s="49"/>
      <c r="BB149" s="101"/>
      <c r="BC149" s="487"/>
      <c r="BD149" s="487"/>
      <c r="BE149" s="101">
        <v>0</v>
      </c>
      <c r="BF149" s="49"/>
      <c r="BG149" s="101"/>
      <c r="BH149" s="487"/>
      <c r="BI149" s="487"/>
      <c r="BJ149" s="101">
        <v>0</v>
      </c>
      <c r="BK149" s="49"/>
      <c r="BL149" s="101"/>
      <c r="BM149" s="487"/>
      <c r="BN149" s="487"/>
      <c r="BO149" s="101">
        <v>0</v>
      </c>
      <c r="BP149" s="49"/>
      <c r="BQ149" s="101"/>
      <c r="BR149" s="487"/>
      <c r="BS149" s="487"/>
      <c r="BT149" s="101">
        <f>SUM(L149:BO149)</f>
        <v>0</v>
      </c>
      <c r="BU149" s="49"/>
      <c r="BV149" s="101"/>
      <c r="BW149" s="398"/>
      <c r="BX149" s="411"/>
      <c r="BY149" s="411"/>
    </row>
    <row r="150" spans="1:77" ht="12.75" hidden="1" x14ac:dyDescent="0.2">
      <c r="A150" s="388"/>
      <c r="B150" s="388"/>
      <c r="D150" s="398" t="s">
        <v>462</v>
      </c>
      <c r="E150" s="404"/>
      <c r="F150" s="427"/>
      <c r="G150" s="496">
        <v>0</v>
      </c>
      <c r="H150" s="90"/>
      <c r="I150" s="101"/>
      <c r="J150" s="487"/>
      <c r="K150" s="497"/>
      <c r="L150" s="496">
        <v>0</v>
      </c>
      <c r="M150" s="90"/>
      <c r="N150" s="101"/>
      <c r="O150" s="487"/>
      <c r="P150" s="497"/>
      <c r="Q150" s="496">
        <v>0</v>
      </c>
      <c r="R150" s="90"/>
      <c r="S150" s="101"/>
      <c r="T150" s="487"/>
      <c r="U150" s="497"/>
      <c r="V150" s="496">
        <v>0</v>
      </c>
      <c r="W150" s="90"/>
      <c r="X150" s="101"/>
      <c r="Y150" s="487"/>
      <c r="Z150" s="497"/>
      <c r="AA150" s="496">
        <v>0</v>
      </c>
      <c r="AB150" s="90"/>
      <c r="AC150" s="101"/>
      <c r="AD150" s="487"/>
      <c r="AE150" s="497"/>
      <c r="AF150" s="496">
        <v>0</v>
      </c>
      <c r="AG150" s="90"/>
      <c r="AH150" s="101"/>
      <c r="AI150" s="487"/>
      <c r="AJ150" s="497"/>
      <c r="AK150" s="496">
        <v>0</v>
      </c>
      <c r="AL150" s="90"/>
      <c r="AM150" s="101"/>
      <c r="AN150" s="487"/>
      <c r="AO150" s="497"/>
      <c r="AP150" s="496">
        <v>0</v>
      </c>
      <c r="AQ150" s="90"/>
      <c r="AR150" s="101"/>
      <c r="AS150" s="487"/>
      <c r="AT150" s="497"/>
      <c r="AU150" s="496">
        <v>0</v>
      </c>
      <c r="AV150" s="90"/>
      <c r="AW150" s="101"/>
      <c r="AX150" s="487"/>
      <c r="AY150" s="497"/>
      <c r="AZ150" s="496">
        <v>0</v>
      </c>
      <c r="BA150" s="90"/>
      <c r="BB150" s="101"/>
      <c r="BC150" s="487"/>
      <c r="BD150" s="497"/>
      <c r="BE150" s="496">
        <v>0</v>
      </c>
      <c r="BF150" s="90"/>
      <c r="BG150" s="101"/>
      <c r="BH150" s="487"/>
      <c r="BI150" s="497"/>
      <c r="BJ150" s="496">
        <v>0</v>
      </c>
      <c r="BK150" s="90"/>
      <c r="BL150" s="101"/>
      <c r="BM150" s="487"/>
      <c r="BN150" s="497"/>
      <c r="BO150" s="496">
        <v>0</v>
      </c>
      <c r="BP150" s="90"/>
      <c r="BQ150" s="101"/>
      <c r="BR150" s="487"/>
      <c r="BS150" s="497"/>
      <c r="BT150" s="496">
        <f>SUM(L150:BO150)</f>
        <v>0</v>
      </c>
      <c r="BU150" s="90"/>
      <c r="BV150" s="101"/>
      <c r="BW150" s="398"/>
      <c r="BX150" s="411"/>
      <c r="BY150" s="411"/>
    </row>
    <row r="151" spans="1:77" ht="12.75" hidden="1" x14ac:dyDescent="0.2">
      <c r="A151" s="388"/>
      <c r="B151" s="388"/>
      <c r="D151" s="398"/>
      <c r="E151" s="404"/>
      <c r="F151" s="388"/>
      <c r="G151" s="521"/>
      <c r="H151" s="521"/>
      <c r="I151" s="521"/>
      <c r="J151" s="522"/>
      <c r="K151" s="521"/>
      <c r="L151" s="521"/>
      <c r="M151" s="521"/>
      <c r="N151" s="521"/>
      <c r="O151" s="522"/>
      <c r="P151" s="521"/>
      <c r="Q151" s="521"/>
      <c r="R151" s="521"/>
      <c r="S151" s="521"/>
      <c r="T151" s="522"/>
      <c r="U151" s="521"/>
      <c r="V151" s="521"/>
      <c r="W151" s="521"/>
      <c r="X151" s="521"/>
      <c r="Y151" s="522"/>
      <c r="Z151" s="521"/>
      <c r="AA151" s="521"/>
      <c r="AB151" s="521"/>
      <c r="AC151" s="521"/>
      <c r="AD151" s="522"/>
      <c r="AE151" s="521"/>
      <c r="AF151" s="521"/>
      <c r="AG151" s="521"/>
      <c r="AH151" s="521"/>
      <c r="AI151" s="522"/>
      <c r="AJ151" s="521"/>
      <c r="AK151" s="521"/>
      <c r="AL151" s="521"/>
      <c r="AM151" s="521"/>
      <c r="AN151" s="522"/>
      <c r="AO151" s="521"/>
      <c r="AP151" s="521"/>
      <c r="AQ151" s="521"/>
      <c r="AR151" s="521"/>
      <c r="AS151" s="522"/>
      <c r="AT151" s="521"/>
      <c r="AU151" s="521"/>
      <c r="AV151" s="521"/>
      <c r="AW151" s="521"/>
      <c r="AX151" s="522"/>
      <c r="AY151" s="521"/>
      <c r="AZ151" s="521"/>
      <c r="BA151" s="521"/>
      <c r="BB151" s="521"/>
      <c r="BC151" s="522"/>
      <c r="BD151" s="521"/>
      <c r="BE151" s="521"/>
      <c r="BF151" s="521"/>
      <c r="BG151" s="521"/>
      <c r="BH151" s="522"/>
      <c r="BI151" s="521"/>
      <c r="BJ151" s="521"/>
      <c r="BK151" s="521"/>
      <c r="BL151" s="521"/>
      <c r="BM151" s="522"/>
      <c r="BN151" s="521"/>
      <c r="BO151" s="521"/>
      <c r="BP151" s="521"/>
      <c r="BQ151" s="521"/>
      <c r="BR151" s="522"/>
      <c r="BS151" s="521"/>
      <c r="BT151" s="101"/>
      <c r="BU151" s="101"/>
      <c r="BV151" s="101"/>
      <c r="BW151" s="398"/>
      <c r="BX151" s="411"/>
      <c r="BY151" s="411"/>
    </row>
    <row r="152" spans="1:77" ht="12.75" hidden="1" x14ac:dyDescent="0.2">
      <c r="A152" s="388"/>
      <c r="B152" s="388"/>
      <c r="D152" s="398" t="s">
        <v>468</v>
      </c>
      <c r="E152" s="404"/>
      <c r="F152" s="388"/>
      <c r="G152" s="101">
        <f>SUM(G153:G155)</f>
        <v>0</v>
      </c>
      <c r="H152" s="101"/>
      <c r="I152" s="101"/>
      <c r="J152" s="487"/>
      <c r="K152" s="101"/>
      <c r="L152" s="101">
        <f>SUM(L153:L155)</f>
        <v>0</v>
      </c>
      <c r="M152" s="101"/>
      <c r="N152" s="101"/>
      <c r="O152" s="487"/>
      <c r="P152" s="101"/>
      <c r="Q152" s="101">
        <f>SUM(Q153:Q155)</f>
        <v>0</v>
      </c>
      <c r="R152" s="101"/>
      <c r="S152" s="101"/>
      <c r="T152" s="487"/>
      <c r="U152" s="101"/>
      <c r="V152" s="101">
        <f>SUM(V153:V155)</f>
        <v>0</v>
      </c>
      <c r="W152" s="101"/>
      <c r="X152" s="101"/>
      <c r="Y152" s="487"/>
      <c r="Z152" s="101"/>
      <c r="AA152" s="101">
        <f>SUM(AA153:AA155)</f>
        <v>0</v>
      </c>
      <c r="AB152" s="101"/>
      <c r="AC152" s="101"/>
      <c r="AD152" s="487"/>
      <c r="AE152" s="101"/>
      <c r="AF152" s="101">
        <f>SUM(AF153:AF155)</f>
        <v>0</v>
      </c>
      <c r="AG152" s="101"/>
      <c r="AH152" s="101"/>
      <c r="AI152" s="487"/>
      <c r="AJ152" s="101"/>
      <c r="AK152" s="101">
        <f>SUM(AK153:AK155)</f>
        <v>0</v>
      </c>
      <c r="AL152" s="101"/>
      <c r="AM152" s="101"/>
      <c r="AN152" s="487"/>
      <c r="AO152" s="101"/>
      <c r="AP152" s="101">
        <f>SUM(AP153:AP155)</f>
        <v>0</v>
      </c>
      <c r="AQ152" s="101"/>
      <c r="AR152" s="101"/>
      <c r="AS152" s="487"/>
      <c r="AT152" s="101"/>
      <c r="AU152" s="101">
        <f>SUM(AU153:AU155)</f>
        <v>0</v>
      </c>
      <c r="AV152" s="101"/>
      <c r="AW152" s="101"/>
      <c r="AX152" s="487"/>
      <c r="AY152" s="101"/>
      <c r="AZ152" s="101">
        <f>SUM(AZ153:AZ155)</f>
        <v>0</v>
      </c>
      <c r="BA152" s="101"/>
      <c r="BB152" s="101"/>
      <c r="BC152" s="487"/>
      <c r="BD152" s="101"/>
      <c r="BE152" s="101">
        <f>SUM(BE153:BE155)</f>
        <v>0</v>
      </c>
      <c r="BF152" s="101"/>
      <c r="BG152" s="101"/>
      <c r="BH152" s="487"/>
      <c r="BI152" s="101"/>
      <c r="BJ152" s="101">
        <f>SUM(BJ153:BJ155)</f>
        <v>0</v>
      </c>
      <c r="BK152" s="101"/>
      <c r="BL152" s="101"/>
      <c r="BM152" s="487"/>
      <c r="BN152" s="101"/>
      <c r="BO152" s="101">
        <f>SUM(BO153:BO155)</f>
        <v>0</v>
      </c>
      <c r="BP152" s="101"/>
      <c r="BQ152" s="101"/>
      <c r="BR152" s="487"/>
      <c r="BS152" s="101"/>
      <c r="BT152" s="101">
        <f>SUM(BT153:BT155)</f>
        <v>0</v>
      </c>
      <c r="BU152" s="101"/>
      <c r="BV152" s="101"/>
      <c r="BW152" s="398"/>
      <c r="BX152" s="411"/>
      <c r="BY152" s="411"/>
    </row>
    <row r="153" spans="1:77" ht="12.75" hidden="1" x14ac:dyDescent="0.2">
      <c r="A153" s="388"/>
      <c r="B153" s="388"/>
      <c r="D153" s="398" t="s">
        <v>373</v>
      </c>
      <c r="E153" s="404"/>
      <c r="F153" s="412"/>
      <c r="G153" s="485">
        <v>0</v>
      </c>
      <c r="H153" s="486"/>
      <c r="I153" s="101"/>
      <c r="J153" s="487"/>
      <c r="K153" s="488"/>
      <c r="L153" s="485">
        <v>0</v>
      </c>
      <c r="M153" s="486"/>
      <c r="N153" s="101"/>
      <c r="O153" s="487"/>
      <c r="P153" s="488"/>
      <c r="Q153" s="485">
        <v>0</v>
      </c>
      <c r="R153" s="486"/>
      <c r="S153" s="101"/>
      <c r="T153" s="487"/>
      <c r="U153" s="488"/>
      <c r="V153" s="485">
        <v>0</v>
      </c>
      <c r="W153" s="486"/>
      <c r="X153" s="101"/>
      <c r="Y153" s="487"/>
      <c r="Z153" s="488"/>
      <c r="AA153" s="485">
        <v>0</v>
      </c>
      <c r="AB153" s="486"/>
      <c r="AC153" s="101"/>
      <c r="AD153" s="487"/>
      <c r="AE153" s="488"/>
      <c r="AF153" s="485">
        <v>0</v>
      </c>
      <c r="AG153" s="486"/>
      <c r="AH153" s="101"/>
      <c r="AI153" s="487"/>
      <c r="AJ153" s="488"/>
      <c r="AK153" s="485">
        <v>0</v>
      </c>
      <c r="AL153" s="486"/>
      <c r="AM153" s="101"/>
      <c r="AN153" s="487"/>
      <c r="AO153" s="488"/>
      <c r="AP153" s="485">
        <v>0</v>
      </c>
      <c r="AQ153" s="486"/>
      <c r="AR153" s="101"/>
      <c r="AS153" s="487"/>
      <c r="AT153" s="488"/>
      <c r="AU153" s="485">
        <v>0</v>
      </c>
      <c r="AV153" s="486"/>
      <c r="AW153" s="101"/>
      <c r="AX153" s="487"/>
      <c r="AY153" s="488"/>
      <c r="AZ153" s="485">
        <v>0</v>
      </c>
      <c r="BA153" s="486"/>
      <c r="BB153" s="101"/>
      <c r="BC153" s="487"/>
      <c r="BD153" s="488"/>
      <c r="BE153" s="485">
        <v>0</v>
      </c>
      <c r="BF153" s="486"/>
      <c r="BG153" s="101"/>
      <c r="BH153" s="487"/>
      <c r="BI153" s="488"/>
      <c r="BJ153" s="485">
        <v>0</v>
      </c>
      <c r="BK153" s="486"/>
      <c r="BL153" s="101"/>
      <c r="BM153" s="487"/>
      <c r="BN153" s="488"/>
      <c r="BO153" s="485">
        <v>0</v>
      </c>
      <c r="BP153" s="486"/>
      <c r="BQ153" s="101"/>
      <c r="BR153" s="487"/>
      <c r="BS153" s="488"/>
      <c r="BT153" s="485">
        <f>SUM(L153:BO153)</f>
        <v>0</v>
      </c>
      <c r="BU153" s="486"/>
      <c r="BV153" s="101"/>
      <c r="BW153" s="398"/>
      <c r="BX153" s="411"/>
      <c r="BY153" s="411"/>
    </row>
    <row r="154" spans="1:77" ht="12.75" hidden="1" x14ac:dyDescent="0.2">
      <c r="A154" s="388"/>
      <c r="B154" s="388"/>
      <c r="D154" s="398" t="s">
        <v>461</v>
      </c>
      <c r="E154" s="404"/>
      <c r="F154" s="404"/>
      <c r="G154" s="101">
        <v>0</v>
      </c>
      <c r="H154" s="49"/>
      <c r="I154" s="101"/>
      <c r="J154" s="487"/>
      <c r="K154" s="487"/>
      <c r="L154" s="101">
        <v>0</v>
      </c>
      <c r="M154" s="49"/>
      <c r="N154" s="101"/>
      <c r="O154" s="487"/>
      <c r="P154" s="487"/>
      <c r="Q154" s="101">
        <v>0</v>
      </c>
      <c r="R154" s="49"/>
      <c r="S154" s="101"/>
      <c r="T154" s="487"/>
      <c r="U154" s="487"/>
      <c r="V154" s="101">
        <v>0</v>
      </c>
      <c r="W154" s="49"/>
      <c r="X154" s="101"/>
      <c r="Y154" s="487"/>
      <c r="Z154" s="487"/>
      <c r="AA154" s="101">
        <v>0</v>
      </c>
      <c r="AB154" s="49"/>
      <c r="AC154" s="101"/>
      <c r="AD154" s="487"/>
      <c r="AE154" s="487"/>
      <c r="AF154" s="101">
        <v>0</v>
      </c>
      <c r="AG154" s="49"/>
      <c r="AH154" s="101"/>
      <c r="AI154" s="487"/>
      <c r="AJ154" s="487"/>
      <c r="AK154" s="101">
        <v>0</v>
      </c>
      <c r="AL154" s="49"/>
      <c r="AM154" s="101"/>
      <c r="AN154" s="487"/>
      <c r="AO154" s="487"/>
      <c r="AP154" s="101">
        <v>0</v>
      </c>
      <c r="AQ154" s="49"/>
      <c r="AR154" s="101"/>
      <c r="AS154" s="487"/>
      <c r="AT154" s="487"/>
      <c r="AU154" s="101">
        <v>0</v>
      </c>
      <c r="AV154" s="49"/>
      <c r="AW154" s="101"/>
      <c r="AX154" s="487"/>
      <c r="AY154" s="487"/>
      <c r="AZ154" s="101">
        <v>0</v>
      </c>
      <c r="BA154" s="49"/>
      <c r="BB154" s="101"/>
      <c r="BC154" s="487"/>
      <c r="BD154" s="487"/>
      <c r="BE154" s="101">
        <v>0</v>
      </c>
      <c r="BF154" s="49"/>
      <c r="BG154" s="101"/>
      <c r="BH154" s="487"/>
      <c r="BI154" s="487"/>
      <c r="BJ154" s="101">
        <v>0</v>
      </c>
      <c r="BK154" s="49"/>
      <c r="BL154" s="101"/>
      <c r="BM154" s="487"/>
      <c r="BN154" s="487"/>
      <c r="BO154" s="101">
        <v>0</v>
      </c>
      <c r="BP154" s="49"/>
      <c r="BQ154" s="101"/>
      <c r="BR154" s="487"/>
      <c r="BS154" s="487"/>
      <c r="BT154" s="101">
        <f>SUM(L154:BO154)</f>
        <v>0</v>
      </c>
      <c r="BU154" s="49"/>
      <c r="BV154" s="101"/>
      <c r="BW154" s="398"/>
      <c r="BX154" s="411"/>
      <c r="BY154" s="411"/>
    </row>
    <row r="155" spans="1:77" ht="12.75" hidden="1" x14ac:dyDescent="0.2">
      <c r="A155" s="388"/>
      <c r="B155" s="388"/>
      <c r="D155" s="398" t="s">
        <v>462</v>
      </c>
      <c r="E155" s="404"/>
      <c r="F155" s="427"/>
      <c r="G155" s="496">
        <v>0</v>
      </c>
      <c r="H155" s="90"/>
      <c r="I155" s="101"/>
      <c r="J155" s="487"/>
      <c r="K155" s="497"/>
      <c r="L155" s="496">
        <v>0</v>
      </c>
      <c r="M155" s="90"/>
      <c r="N155" s="101"/>
      <c r="O155" s="487"/>
      <c r="P155" s="497"/>
      <c r="Q155" s="496">
        <v>0</v>
      </c>
      <c r="R155" s="90"/>
      <c r="S155" s="101"/>
      <c r="T155" s="487"/>
      <c r="U155" s="497"/>
      <c r="V155" s="496">
        <v>0</v>
      </c>
      <c r="W155" s="90"/>
      <c r="X155" s="101"/>
      <c r="Y155" s="487"/>
      <c r="Z155" s="497"/>
      <c r="AA155" s="496">
        <v>0</v>
      </c>
      <c r="AB155" s="90"/>
      <c r="AC155" s="101"/>
      <c r="AD155" s="487"/>
      <c r="AE155" s="497"/>
      <c r="AF155" s="496">
        <v>0</v>
      </c>
      <c r="AG155" s="90"/>
      <c r="AH155" s="101"/>
      <c r="AI155" s="487"/>
      <c r="AJ155" s="497"/>
      <c r="AK155" s="496">
        <v>0</v>
      </c>
      <c r="AL155" s="90"/>
      <c r="AM155" s="101"/>
      <c r="AN155" s="487"/>
      <c r="AO155" s="497"/>
      <c r="AP155" s="496">
        <v>0</v>
      </c>
      <c r="AQ155" s="90"/>
      <c r="AR155" s="101"/>
      <c r="AS155" s="487"/>
      <c r="AT155" s="497"/>
      <c r="AU155" s="496">
        <v>0</v>
      </c>
      <c r="AV155" s="90"/>
      <c r="AW155" s="101"/>
      <c r="AX155" s="487"/>
      <c r="AY155" s="497"/>
      <c r="AZ155" s="496">
        <v>0</v>
      </c>
      <c r="BA155" s="90"/>
      <c r="BB155" s="101"/>
      <c r="BC155" s="487"/>
      <c r="BD155" s="497"/>
      <c r="BE155" s="496">
        <v>0</v>
      </c>
      <c r="BF155" s="90"/>
      <c r="BG155" s="101"/>
      <c r="BH155" s="487"/>
      <c r="BI155" s="497"/>
      <c r="BJ155" s="496">
        <v>0</v>
      </c>
      <c r="BK155" s="90"/>
      <c r="BL155" s="101"/>
      <c r="BM155" s="487"/>
      <c r="BN155" s="497"/>
      <c r="BO155" s="496">
        <v>0</v>
      </c>
      <c r="BP155" s="90"/>
      <c r="BQ155" s="101"/>
      <c r="BR155" s="487"/>
      <c r="BS155" s="497"/>
      <c r="BT155" s="496">
        <f>SUM(L155:BO155)</f>
        <v>0</v>
      </c>
      <c r="BU155" s="90"/>
      <c r="BV155" s="101"/>
      <c r="BW155" s="398"/>
      <c r="BX155" s="411"/>
      <c r="BY155" s="411"/>
    </row>
    <row r="156" spans="1:77" ht="12.75" hidden="1" x14ac:dyDescent="0.2">
      <c r="A156" s="388"/>
      <c r="B156" s="388"/>
      <c r="D156" s="398"/>
      <c r="E156" s="404"/>
      <c r="F156" s="388"/>
      <c r="G156" s="521"/>
      <c r="H156" s="521"/>
      <c r="I156" s="521"/>
      <c r="J156" s="522"/>
      <c r="K156" s="521"/>
      <c r="L156" s="521"/>
      <c r="M156" s="521"/>
      <c r="N156" s="521"/>
      <c r="O156" s="522"/>
      <c r="P156" s="521"/>
      <c r="Q156" s="521"/>
      <c r="R156" s="521"/>
      <c r="S156" s="521"/>
      <c r="T156" s="522"/>
      <c r="U156" s="521"/>
      <c r="V156" s="521"/>
      <c r="W156" s="521"/>
      <c r="X156" s="521"/>
      <c r="Y156" s="522"/>
      <c r="Z156" s="521"/>
      <c r="AA156" s="521"/>
      <c r="AB156" s="521"/>
      <c r="AC156" s="521"/>
      <c r="AD156" s="522"/>
      <c r="AE156" s="521"/>
      <c r="AF156" s="521"/>
      <c r="AG156" s="521"/>
      <c r="AH156" s="521"/>
      <c r="AI156" s="522"/>
      <c r="AJ156" s="521"/>
      <c r="AK156" s="521"/>
      <c r="AL156" s="521"/>
      <c r="AM156" s="521"/>
      <c r="AN156" s="522"/>
      <c r="AO156" s="521"/>
      <c r="AP156" s="521"/>
      <c r="AQ156" s="521"/>
      <c r="AR156" s="521"/>
      <c r="AS156" s="522"/>
      <c r="AT156" s="521"/>
      <c r="AU156" s="521"/>
      <c r="AV156" s="521"/>
      <c r="AW156" s="521"/>
      <c r="AX156" s="522"/>
      <c r="AY156" s="521"/>
      <c r="AZ156" s="521"/>
      <c r="BA156" s="521"/>
      <c r="BB156" s="521"/>
      <c r="BC156" s="522"/>
      <c r="BD156" s="521"/>
      <c r="BE156" s="521"/>
      <c r="BF156" s="521"/>
      <c r="BG156" s="521"/>
      <c r="BH156" s="522"/>
      <c r="BI156" s="521"/>
      <c r="BJ156" s="521"/>
      <c r="BK156" s="521"/>
      <c r="BL156" s="521"/>
      <c r="BM156" s="522"/>
      <c r="BN156" s="521"/>
      <c r="BO156" s="521"/>
      <c r="BP156" s="521"/>
      <c r="BQ156" s="521"/>
      <c r="BR156" s="522"/>
      <c r="BS156" s="521"/>
      <c r="BT156" s="101"/>
      <c r="BU156" s="101"/>
      <c r="BV156" s="101"/>
      <c r="BW156" s="398"/>
      <c r="BX156" s="411"/>
      <c r="BY156" s="411"/>
    </row>
    <row r="157" spans="1:77" ht="12.75" x14ac:dyDescent="0.2">
      <c r="A157" s="388"/>
      <c r="B157" s="388"/>
      <c r="D157" s="523"/>
      <c r="E157" s="501"/>
      <c r="F157" s="391"/>
      <c r="G157" s="524"/>
      <c r="H157" s="524"/>
      <c r="I157" s="524"/>
      <c r="J157" s="525"/>
      <c r="K157" s="524"/>
      <c r="L157" s="524"/>
      <c r="M157" s="524"/>
      <c r="N157" s="524"/>
      <c r="O157" s="525"/>
      <c r="P157" s="524"/>
      <c r="Q157" s="524"/>
      <c r="R157" s="524"/>
      <c r="S157" s="524"/>
      <c r="T157" s="525"/>
      <c r="U157" s="524"/>
      <c r="V157" s="524"/>
      <c r="W157" s="524"/>
      <c r="X157" s="524"/>
      <c r="Y157" s="525"/>
      <c r="Z157" s="524"/>
      <c r="AA157" s="524"/>
      <c r="AB157" s="524"/>
      <c r="AC157" s="524"/>
      <c r="AD157" s="525"/>
      <c r="AE157" s="524"/>
      <c r="AF157" s="524"/>
      <c r="AG157" s="524"/>
      <c r="AH157" s="524"/>
      <c r="AI157" s="525"/>
      <c r="AJ157" s="524"/>
      <c r="AK157" s="524"/>
      <c r="AL157" s="524"/>
      <c r="AM157" s="524"/>
      <c r="AN157" s="525"/>
      <c r="AO157" s="524"/>
      <c r="AP157" s="524"/>
      <c r="AQ157" s="524"/>
      <c r="AR157" s="524"/>
      <c r="AS157" s="525"/>
      <c r="AT157" s="524"/>
      <c r="AU157" s="524"/>
      <c r="AV157" s="524"/>
      <c r="AW157" s="524"/>
      <c r="AX157" s="525"/>
      <c r="AY157" s="524"/>
      <c r="AZ157" s="524"/>
      <c r="BA157" s="524"/>
      <c r="BB157" s="524"/>
      <c r="BC157" s="525"/>
      <c r="BD157" s="524"/>
      <c r="BE157" s="524"/>
      <c r="BF157" s="524"/>
      <c r="BG157" s="524"/>
      <c r="BH157" s="525"/>
      <c r="BI157" s="524"/>
      <c r="BJ157" s="524"/>
      <c r="BK157" s="524"/>
      <c r="BL157" s="524"/>
      <c r="BM157" s="525"/>
      <c r="BN157" s="524"/>
      <c r="BO157" s="524"/>
      <c r="BP157" s="524"/>
      <c r="BQ157" s="524"/>
      <c r="BR157" s="525"/>
      <c r="BS157" s="524"/>
      <c r="BT157" s="502"/>
      <c r="BU157" s="502"/>
      <c r="BV157" s="502"/>
      <c r="BW157" s="398"/>
      <c r="BX157" s="411"/>
      <c r="BY157" s="411"/>
    </row>
    <row r="158" spans="1:77" ht="12.75" x14ac:dyDescent="0.2">
      <c r="A158" s="388"/>
      <c r="B158" s="388"/>
      <c r="C158" s="388"/>
      <c r="D158" s="388"/>
      <c r="E158" s="388"/>
      <c r="F158" s="388"/>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6"/>
      <c r="AE158" s="526"/>
      <c r="AF158" s="526"/>
      <c r="AG158" s="526"/>
      <c r="AH158" s="526"/>
      <c r="AI158" s="526"/>
      <c r="AJ158" s="526"/>
      <c r="AK158" s="526"/>
      <c r="AL158" s="526"/>
      <c r="AM158" s="526"/>
      <c r="AN158" s="526"/>
      <c r="AO158" s="526"/>
      <c r="AP158" s="526"/>
      <c r="AQ158" s="526"/>
      <c r="AR158" s="526"/>
      <c r="AS158" s="526"/>
      <c r="AT158" s="526"/>
      <c r="AU158" s="526"/>
      <c r="AV158" s="526"/>
      <c r="AW158" s="526"/>
      <c r="AX158" s="526"/>
      <c r="AY158" s="526"/>
      <c r="AZ158" s="526"/>
      <c r="BA158" s="526"/>
      <c r="BB158" s="526"/>
      <c r="BC158" s="526"/>
      <c r="BD158" s="526"/>
      <c r="BE158" s="526"/>
      <c r="BF158" s="526"/>
      <c r="BG158" s="526"/>
      <c r="BH158" s="526"/>
      <c r="BI158" s="526"/>
      <c r="BJ158" s="526"/>
      <c r="BK158" s="526"/>
      <c r="BL158" s="526"/>
      <c r="BM158" s="526"/>
      <c r="BN158" s="526"/>
      <c r="BO158" s="526"/>
      <c r="BP158" s="526"/>
      <c r="BQ158" s="526"/>
      <c r="BR158" s="526"/>
      <c r="BS158" s="526"/>
      <c r="BT158" s="527"/>
      <c r="BU158" s="527"/>
      <c r="BV158" s="527"/>
    </row>
    <row r="159" spans="1:77" ht="12.75" x14ac:dyDescent="0.2">
      <c r="A159" s="388"/>
      <c r="B159" s="388"/>
      <c r="C159" s="388"/>
      <c r="D159" s="388"/>
      <c r="E159" s="388"/>
      <c r="F159" s="388"/>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1"/>
      <c r="AL159" s="521"/>
      <c r="AM159" s="521"/>
      <c r="AN159" s="521"/>
      <c r="AO159" s="521"/>
      <c r="AP159" s="521"/>
      <c r="AQ159" s="521"/>
      <c r="AR159" s="521"/>
      <c r="AS159" s="521"/>
      <c r="AT159" s="521"/>
      <c r="AU159" s="521"/>
      <c r="AV159" s="521"/>
      <c r="AW159" s="521"/>
      <c r="AX159" s="521"/>
      <c r="AY159" s="521"/>
      <c r="AZ159" s="521"/>
      <c r="BA159" s="521"/>
      <c r="BB159" s="521"/>
      <c r="BC159" s="521"/>
      <c r="BD159" s="521"/>
      <c r="BE159" s="521"/>
      <c r="BF159" s="521"/>
      <c r="BG159" s="521"/>
      <c r="BH159" s="521"/>
      <c r="BI159" s="521"/>
      <c r="BJ159" s="521"/>
      <c r="BK159" s="521"/>
      <c r="BL159" s="521"/>
      <c r="BM159" s="521"/>
      <c r="BN159" s="521"/>
      <c r="BO159" s="521"/>
      <c r="BP159" s="521"/>
      <c r="BQ159" s="521"/>
      <c r="BR159" s="521"/>
      <c r="BS159" s="521"/>
      <c r="BT159" s="101"/>
      <c r="BU159" s="101"/>
      <c r="BV159" s="101"/>
    </row>
    <row r="160" spans="1:77" ht="12.75" x14ac:dyDescent="0.2">
      <c r="A160" s="388"/>
      <c r="B160" s="388"/>
      <c r="C160" s="388"/>
      <c r="D160" s="388"/>
      <c r="E160" s="388"/>
      <c r="F160" s="388"/>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1"/>
      <c r="AL160" s="521"/>
      <c r="AM160" s="521"/>
      <c r="AN160" s="521"/>
      <c r="AO160" s="521"/>
      <c r="AP160" s="521"/>
      <c r="AQ160" s="521"/>
      <c r="AR160" s="521"/>
      <c r="AS160" s="521"/>
      <c r="AT160" s="521"/>
      <c r="AU160" s="521"/>
      <c r="AV160" s="521"/>
      <c r="AW160" s="521"/>
      <c r="AX160" s="521"/>
      <c r="AY160" s="521"/>
      <c r="AZ160" s="521"/>
      <c r="BA160" s="521"/>
      <c r="BB160" s="521"/>
      <c r="BC160" s="521"/>
      <c r="BD160" s="521"/>
      <c r="BE160" s="521"/>
      <c r="BF160" s="521"/>
      <c r="BG160" s="521"/>
      <c r="BH160" s="521"/>
      <c r="BI160" s="521"/>
      <c r="BJ160" s="521"/>
      <c r="BK160" s="521"/>
      <c r="BL160" s="521"/>
      <c r="BM160" s="521"/>
      <c r="BN160" s="521"/>
      <c r="BO160" s="521"/>
      <c r="BP160" s="521"/>
      <c r="BQ160" s="521"/>
      <c r="BR160" s="521"/>
      <c r="BS160" s="521"/>
      <c r="BT160" s="101"/>
      <c r="BU160" s="101"/>
      <c r="BV160" s="101"/>
    </row>
  </sheetData>
  <mergeCells count="1">
    <mergeCell ref="G8:BT8"/>
  </mergeCells>
  <pageMargins left="0.7" right="0.7" top="0.75" bottom="0.75" header="0.3" footer="0.3"/>
  <pageSetup paperSize="9" scale="20" orientation="portrait" r:id="rId1"/>
  <colBreaks count="1" manualBreakCount="1">
    <brk id="75" max="30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1"/>
  <sheetViews>
    <sheetView view="pageBreakPreview" topLeftCell="AV1" zoomScale="118" zoomScaleNormal="100" zoomScaleSheetLayoutView="118" workbookViewId="0">
      <selection activeCell="BN12" sqref="BN12"/>
    </sheetView>
  </sheetViews>
  <sheetFormatPr defaultColWidth="10" defaultRowHeight="13.8" x14ac:dyDescent="0.3"/>
  <cols>
    <col min="1" max="1" width="1.88671875" style="38" customWidth="1"/>
    <col min="2" max="2" width="1" style="38" customWidth="1"/>
    <col min="3" max="3" width="0.88671875" style="38" customWidth="1"/>
    <col min="4" max="4" width="58.33203125" style="38" customWidth="1"/>
    <col min="5" max="6" width="1" style="38" customWidth="1"/>
    <col min="7" max="7" width="16.88671875" style="38" customWidth="1"/>
    <col min="8" max="11" width="1" style="38" customWidth="1"/>
    <col min="12" max="12" width="17.88671875" style="38" customWidth="1"/>
    <col min="13" max="16" width="1" style="38" customWidth="1"/>
    <col min="17" max="17" width="17.88671875" style="38" customWidth="1"/>
    <col min="18" max="21" width="1" style="38" customWidth="1"/>
    <col min="22" max="22" width="17.88671875" style="38" customWidth="1"/>
    <col min="23" max="26" width="1" style="38" customWidth="1"/>
    <col min="27" max="27" width="17.88671875" style="38" customWidth="1"/>
    <col min="28" max="31" width="1" style="38" customWidth="1"/>
    <col min="32" max="32" width="17.88671875" style="38" customWidth="1"/>
    <col min="33" max="36" width="1" style="38" customWidth="1"/>
    <col min="37" max="37" width="17.88671875" style="38" customWidth="1"/>
    <col min="38" max="41" width="1" style="38" customWidth="1"/>
    <col min="42" max="42" width="17.88671875" style="38" customWidth="1"/>
    <col min="43" max="46" width="1" style="38" customWidth="1"/>
    <col min="47" max="47" width="15.6640625" style="38" customWidth="1"/>
    <col min="48" max="51" width="1" style="38" customWidth="1"/>
    <col min="52" max="52" width="17.88671875" style="38" customWidth="1"/>
    <col min="53" max="56" width="1" style="38" customWidth="1"/>
    <col min="57" max="57" width="17.88671875" style="38" customWidth="1"/>
    <col min="58" max="61" width="1" style="38" customWidth="1"/>
    <col min="62" max="62" width="17.88671875" style="38" customWidth="1"/>
    <col min="63" max="66" width="1" style="38" customWidth="1"/>
    <col min="67" max="67" width="17.88671875" style="38" customWidth="1"/>
    <col min="68" max="71" width="1" style="38" customWidth="1"/>
    <col min="72" max="72" width="16.109375" style="38" customWidth="1"/>
    <col min="73" max="74" width="1" style="38" customWidth="1"/>
    <col min="75" max="75" width="0.6640625" style="38" customWidth="1"/>
    <col min="76" max="76" width="3.33203125" style="38" customWidth="1"/>
    <col min="77" max="77" width="10" style="38"/>
    <col min="78" max="78" width="10.44140625" style="38" bestFit="1" customWidth="1"/>
    <col min="79" max="186" width="10" style="38"/>
    <col min="187" max="187" width="1.88671875" style="38" customWidth="1"/>
    <col min="188" max="188" width="1" style="38" customWidth="1"/>
    <col min="189" max="189" width="0.88671875" style="38" customWidth="1"/>
    <col min="190" max="190" width="58.33203125" style="38" customWidth="1"/>
    <col min="191" max="192" width="1" style="38" customWidth="1"/>
    <col min="193" max="193" width="16.88671875" style="38" customWidth="1"/>
    <col min="194" max="195" width="1" style="38" customWidth="1"/>
    <col min="196" max="250" width="0" style="38" hidden="1" customWidth="1"/>
    <col min="251" max="252" width="1" style="38" customWidth="1"/>
    <col min="253" max="253" width="17.88671875" style="38" customWidth="1"/>
    <col min="254" max="257" width="1" style="38" customWidth="1"/>
    <col min="258" max="258" width="16.109375" style="38" customWidth="1"/>
    <col min="259" max="262" width="1" style="38" customWidth="1"/>
    <col min="263" max="263" width="15.109375" style="38" customWidth="1"/>
    <col min="264" max="265" width="1" style="38" customWidth="1"/>
    <col min="266" max="320" width="0" style="38" hidden="1" customWidth="1"/>
    <col min="321" max="322" width="1" style="38" customWidth="1"/>
    <col min="323" max="323" width="17.88671875" style="38" customWidth="1"/>
    <col min="324" max="327" width="1" style="38" customWidth="1"/>
    <col min="328" max="328" width="15.6640625" style="38" customWidth="1"/>
    <col min="329" max="330" width="1" style="38" customWidth="1"/>
    <col min="331" max="331" width="0.6640625" style="38" customWidth="1"/>
    <col min="332" max="332" width="3.33203125" style="38" customWidth="1"/>
    <col min="333" max="333" width="10" style="38"/>
    <col min="334" max="334" width="10.44140625" style="38" bestFit="1" customWidth="1"/>
    <col min="335" max="442" width="10" style="38"/>
    <col min="443" max="443" width="1.88671875" style="38" customWidth="1"/>
    <col min="444" max="444" width="1" style="38" customWidth="1"/>
    <col min="445" max="445" width="0.88671875" style="38" customWidth="1"/>
    <col min="446" max="446" width="58.33203125" style="38" customWidth="1"/>
    <col min="447" max="448" width="1" style="38" customWidth="1"/>
    <col min="449" max="449" width="16.88671875" style="38" customWidth="1"/>
    <col min="450" max="451" width="1" style="38" customWidth="1"/>
    <col min="452" max="506" width="0" style="38" hidden="1" customWidth="1"/>
    <col min="507" max="508" width="1" style="38" customWidth="1"/>
    <col min="509" max="509" width="17.88671875" style="38" customWidth="1"/>
    <col min="510" max="513" width="1" style="38" customWidth="1"/>
    <col min="514" max="514" width="16.109375" style="38" customWidth="1"/>
    <col min="515" max="518" width="1" style="38" customWidth="1"/>
    <col min="519" max="519" width="15.109375" style="38" customWidth="1"/>
    <col min="520" max="521" width="1" style="38" customWidth="1"/>
    <col min="522" max="576" width="0" style="38" hidden="1" customWidth="1"/>
    <col min="577" max="578" width="1" style="38" customWidth="1"/>
    <col min="579" max="579" width="17.88671875" style="38" customWidth="1"/>
    <col min="580" max="583" width="1" style="38" customWidth="1"/>
    <col min="584" max="584" width="15.6640625" style="38" customWidth="1"/>
    <col min="585" max="586" width="1" style="38" customWidth="1"/>
    <col min="587" max="587" width="0.6640625" style="38" customWidth="1"/>
    <col min="588" max="588" width="3.33203125" style="38" customWidth="1"/>
    <col min="589" max="589" width="10" style="38"/>
    <col min="590" max="590" width="10.44140625" style="38" bestFit="1" customWidth="1"/>
    <col min="591" max="698" width="10" style="38"/>
    <col min="699" max="699" width="1.88671875" style="38" customWidth="1"/>
    <col min="700" max="700" width="1" style="38" customWidth="1"/>
    <col min="701" max="701" width="0.88671875" style="38" customWidth="1"/>
    <col min="702" max="702" width="58.33203125" style="38" customWidth="1"/>
    <col min="703" max="704" width="1" style="38" customWidth="1"/>
    <col min="705" max="705" width="16.88671875" style="38" customWidth="1"/>
    <col min="706" max="707" width="1" style="38" customWidth="1"/>
    <col min="708" max="762" width="0" style="38" hidden="1" customWidth="1"/>
    <col min="763" max="764" width="1" style="38" customWidth="1"/>
    <col min="765" max="765" width="17.88671875" style="38" customWidth="1"/>
    <col min="766" max="769" width="1" style="38" customWidth="1"/>
    <col min="770" max="770" width="16.109375" style="38" customWidth="1"/>
    <col min="771" max="774" width="1" style="38" customWidth="1"/>
    <col min="775" max="775" width="15.109375" style="38" customWidth="1"/>
    <col min="776" max="777" width="1" style="38" customWidth="1"/>
    <col min="778" max="832" width="0" style="38" hidden="1" customWidth="1"/>
    <col min="833" max="834" width="1" style="38" customWidth="1"/>
    <col min="835" max="835" width="17.88671875" style="38" customWidth="1"/>
    <col min="836" max="839" width="1" style="38" customWidth="1"/>
    <col min="840" max="840" width="15.6640625" style="38" customWidth="1"/>
    <col min="841" max="842" width="1" style="38" customWidth="1"/>
    <col min="843" max="843" width="0.6640625" style="38" customWidth="1"/>
    <col min="844" max="844" width="3.33203125" style="38" customWidth="1"/>
    <col min="845" max="845" width="10" style="38"/>
    <col min="846" max="846" width="10.44140625" style="38" bestFit="1" customWidth="1"/>
    <col min="847" max="954" width="10" style="38"/>
    <col min="955" max="955" width="1.88671875" style="38" customWidth="1"/>
    <col min="956" max="956" width="1" style="38" customWidth="1"/>
    <col min="957" max="957" width="0.88671875" style="38" customWidth="1"/>
    <col min="958" max="958" width="58.33203125" style="38" customWidth="1"/>
    <col min="959" max="960" width="1" style="38" customWidth="1"/>
    <col min="961" max="961" width="16.88671875" style="38" customWidth="1"/>
    <col min="962" max="963" width="1" style="38" customWidth="1"/>
    <col min="964" max="1018" width="0" style="38" hidden="1" customWidth="1"/>
    <col min="1019" max="1020" width="1" style="38" customWidth="1"/>
    <col min="1021" max="1021" width="17.88671875" style="38" customWidth="1"/>
    <col min="1022" max="1025" width="1" style="38" customWidth="1"/>
    <col min="1026" max="1026" width="16.109375" style="38" customWidth="1"/>
    <col min="1027" max="1030" width="1" style="38" customWidth="1"/>
    <col min="1031" max="1031" width="15.109375" style="38" customWidth="1"/>
    <col min="1032" max="1033" width="1" style="38" customWidth="1"/>
    <col min="1034" max="1088" width="0" style="38" hidden="1" customWidth="1"/>
    <col min="1089" max="1090" width="1" style="38" customWidth="1"/>
    <col min="1091" max="1091" width="17.88671875" style="38" customWidth="1"/>
    <col min="1092" max="1095" width="1" style="38" customWidth="1"/>
    <col min="1096" max="1096" width="15.6640625" style="38" customWidth="1"/>
    <col min="1097" max="1098" width="1" style="38" customWidth="1"/>
    <col min="1099" max="1099" width="0.6640625" style="38" customWidth="1"/>
    <col min="1100" max="1100" width="3.33203125" style="38" customWidth="1"/>
    <col min="1101" max="1101" width="10" style="38"/>
    <col min="1102" max="1102" width="10.44140625" style="38" bestFit="1" customWidth="1"/>
    <col min="1103" max="1210" width="10" style="38"/>
    <col min="1211" max="1211" width="1.88671875" style="38" customWidth="1"/>
    <col min="1212" max="1212" width="1" style="38" customWidth="1"/>
    <col min="1213" max="1213" width="0.88671875" style="38" customWidth="1"/>
    <col min="1214" max="1214" width="58.33203125" style="38" customWidth="1"/>
    <col min="1215" max="1216" width="1" style="38" customWidth="1"/>
    <col min="1217" max="1217" width="16.88671875" style="38" customWidth="1"/>
    <col min="1218" max="1219" width="1" style="38" customWidth="1"/>
    <col min="1220" max="1274" width="0" style="38" hidden="1" customWidth="1"/>
    <col min="1275" max="1276" width="1" style="38" customWidth="1"/>
    <col min="1277" max="1277" width="17.88671875" style="38" customWidth="1"/>
    <col min="1278" max="1281" width="1" style="38" customWidth="1"/>
    <col min="1282" max="1282" width="16.109375" style="38" customWidth="1"/>
    <col min="1283" max="1286" width="1" style="38" customWidth="1"/>
    <col min="1287" max="1287" width="15.109375" style="38" customWidth="1"/>
    <col min="1288" max="1289" width="1" style="38" customWidth="1"/>
    <col min="1290" max="1344" width="0" style="38" hidden="1" customWidth="1"/>
    <col min="1345" max="1346" width="1" style="38" customWidth="1"/>
    <col min="1347" max="1347" width="17.88671875" style="38" customWidth="1"/>
    <col min="1348" max="1351" width="1" style="38" customWidth="1"/>
    <col min="1352" max="1352" width="15.6640625" style="38" customWidth="1"/>
    <col min="1353" max="1354" width="1" style="38" customWidth="1"/>
    <col min="1355" max="1355" width="0.6640625" style="38" customWidth="1"/>
    <col min="1356" max="1356" width="3.33203125" style="38" customWidth="1"/>
    <col min="1357" max="1357" width="10" style="38"/>
    <col min="1358" max="1358" width="10.44140625" style="38" bestFit="1" customWidth="1"/>
    <col min="1359" max="1466" width="10" style="38"/>
    <col min="1467" max="1467" width="1.88671875" style="38" customWidth="1"/>
    <col min="1468" max="1468" width="1" style="38" customWidth="1"/>
    <col min="1469" max="1469" width="0.88671875" style="38" customWidth="1"/>
    <col min="1470" max="1470" width="58.33203125" style="38" customWidth="1"/>
    <col min="1471" max="1472" width="1" style="38" customWidth="1"/>
    <col min="1473" max="1473" width="16.88671875" style="38" customWidth="1"/>
    <col min="1474" max="1475" width="1" style="38" customWidth="1"/>
    <col min="1476" max="1530" width="0" style="38" hidden="1" customWidth="1"/>
    <col min="1531" max="1532" width="1" style="38" customWidth="1"/>
    <col min="1533" max="1533" width="17.88671875" style="38" customWidth="1"/>
    <col min="1534" max="1537" width="1" style="38" customWidth="1"/>
    <col min="1538" max="1538" width="16.109375" style="38" customWidth="1"/>
    <col min="1539" max="1542" width="1" style="38" customWidth="1"/>
    <col min="1543" max="1543" width="15.109375" style="38" customWidth="1"/>
    <col min="1544" max="1545" width="1" style="38" customWidth="1"/>
    <col min="1546" max="1600" width="0" style="38" hidden="1" customWidth="1"/>
    <col min="1601" max="1602" width="1" style="38" customWidth="1"/>
    <col min="1603" max="1603" width="17.88671875" style="38" customWidth="1"/>
    <col min="1604" max="1607" width="1" style="38" customWidth="1"/>
    <col min="1608" max="1608" width="15.6640625" style="38" customWidth="1"/>
    <col min="1609" max="1610" width="1" style="38" customWidth="1"/>
    <col min="1611" max="1611" width="0.6640625" style="38" customWidth="1"/>
    <col min="1612" max="1612" width="3.33203125" style="38" customWidth="1"/>
    <col min="1613" max="1613" width="10" style="38"/>
    <col min="1614" max="1614" width="10.44140625" style="38" bestFit="1" customWidth="1"/>
    <col min="1615" max="1722" width="10" style="38"/>
    <col min="1723" max="1723" width="1.88671875" style="38" customWidth="1"/>
    <col min="1724" max="1724" width="1" style="38" customWidth="1"/>
    <col min="1725" max="1725" width="0.88671875" style="38" customWidth="1"/>
    <col min="1726" max="1726" width="58.33203125" style="38" customWidth="1"/>
    <col min="1727" max="1728" width="1" style="38" customWidth="1"/>
    <col min="1729" max="1729" width="16.88671875" style="38" customWidth="1"/>
    <col min="1730" max="1731" width="1" style="38" customWidth="1"/>
    <col min="1732" max="1786" width="0" style="38" hidden="1" customWidth="1"/>
    <col min="1787" max="1788" width="1" style="38" customWidth="1"/>
    <col min="1789" max="1789" width="17.88671875" style="38" customWidth="1"/>
    <col min="1790" max="1793" width="1" style="38" customWidth="1"/>
    <col min="1794" max="1794" width="16.109375" style="38" customWidth="1"/>
    <col min="1795" max="1798" width="1" style="38" customWidth="1"/>
    <col min="1799" max="1799" width="15.109375" style="38" customWidth="1"/>
    <col min="1800" max="1801" width="1" style="38" customWidth="1"/>
    <col min="1802" max="1856" width="0" style="38" hidden="1" customWidth="1"/>
    <col min="1857" max="1858" width="1" style="38" customWidth="1"/>
    <col min="1859" max="1859" width="17.88671875" style="38" customWidth="1"/>
    <col min="1860" max="1863" width="1" style="38" customWidth="1"/>
    <col min="1864" max="1864" width="15.6640625" style="38" customWidth="1"/>
    <col min="1865" max="1866" width="1" style="38" customWidth="1"/>
    <col min="1867" max="1867" width="0.6640625" style="38" customWidth="1"/>
    <col min="1868" max="1868" width="3.33203125" style="38" customWidth="1"/>
    <col min="1869" max="1869" width="10" style="38"/>
    <col min="1870" max="1870" width="10.44140625" style="38" bestFit="1" customWidth="1"/>
    <col min="1871" max="1978" width="10" style="38"/>
    <col min="1979" max="1979" width="1.88671875" style="38" customWidth="1"/>
    <col min="1980" max="1980" width="1" style="38" customWidth="1"/>
    <col min="1981" max="1981" width="0.88671875" style="38" customWidth="1"/>
    <col min="1982" max="1982" width="58.33203125" style="38" customWidth="1"/>
    <col min="1983" max="1984" width="1" style="38" customWidth="1"/>
    <col min="1985" max="1985" width="16.88671875" style="38" customWidth="1"/>
    <col min="1986" max="1987" width="1" style="38" customWidth="1"/>
    <col min="1988" max="2042" width="0" style="38" hidden="1" customWidth="1"/>
    <col min="2043" max="2044" width="1" style="38" customWidth="1"/>
    <col min="2045" max="2045" width="17.88671875" style="38" customWidth="1"/>
    <col min="2046" max="2049" width="1" style="38" customWidth="1"/>
    <col min="2050" max="2050" width="16.109375" style="38" customWidth="1"/>
    <col min="2051" max="2054" width="1" style="38" customWidth="1"/>
    <col min="2055" max="2055" width="15.109375" style="38" customWidth="1"/>
    <col min="2056" max="2057" width="1" style="38" customWidth="1"/>
    <col min="2058" max="2112" width="0" style="38" hidden="1" customWidth="1"/>
    <col min="2113" max="2114" width="1" style="38" customWidth="1"/>
    <col min="2115" max="2115" width="17.88671875" style="38" customWidth="1"/>
    <col min="2116" max="2119" width="1" style="38" customWidth="1"/>
    <col min="2120" max="2120" width="15.6640625" style="38" customWidth="1"/>
    <col min="2121" max="2122" width="1" style="38" customWidth="1"/>
    <col min="2123" max="2123" width="0.6640625" style="38" customWidth="1"/>
    <col min="2124" max="2124" width="3.33203125" style="38" customWidth="1"/>
    <col min="2125" max="2125" width="10" style="38"/>
    <col min="2126" max="2126" width="10.44140625" style="38" bestFit="1" customWidth="1"/>
    <col min="2127" max="2234" width="10" style="38"/>
    <col min="2235" max="2235" width="1.88671875" style="38" customWidth="1"/>
    <col min="2236" max="2236" width="1" style="38" customWidth="1"/>
    <col min="2237" max="2237" width="0.88671875" style="38" customWidth="1"/>
    <col min="2238" max="2238" width="58.33203125" style="38" customWidth="1"/>
    <col min="2239" max="2240" width="1" style="38" customWidth="1"/>
    <col min="2241" max="2241" width="16.88671875" style="38" customWidth="1"/>
    <col min="2242" max="2243" width="1" style="38" customWidth="1"/>
    <col min="2244" max="2298" width="0" style="38" hidden="1" customWidth="1"/>
    <col min="2299" max="2300" width="1" style="38" customWidth="1"/>
    <col min="2301" max="2301" width="17.88671875" style="38" customWidth="1"/>
    <col min="2302" max="2305" width="1" style="38" customWidth="1"/>
    <col min="2306" max="2306" width="16.109375" style="38" customWidth="1"/>
    <col min="2307" max="2310" width="1" style="38" customWidth="1"/>
    <col min="2311" max="2311" width="15.109375" style="38" customWidth="1"/>
    <col min="2312" max="2313" width="1" style="38" customWidth="1"/>
    <col min="2314" max="2368" width="0" style="38" hidden="1" customWidth="1"/>
    <col min="2369" max="2370" width="1" style="38" customWidth="1"/>
    <col min="2371" max="2371" width="17.88671875" style="38" customWidth="1"/>
    <col min="2372" max="2375" width="1" style="38" customWidth="1"/>
    <col min="2376" max="2376" width="15.6640625" style="38" customWidth="1"/>
    <col min="2377" max="2378" width="1" style="38" customWidth="1"/>
    <col min="2379" max="2379" width="0.6640625" style="38" customWidth="1"/>
    <col min="2380" max="2380" width="3.33203125" style="38" customWidth="1"/>
    <col min="2381" max="2381" width="10" style="38"/>
    <col min="2382" max="2382" width="10.44140625" style="38" bestFit="1" customWidth="1"/>
    <col min="2383" max="2490" width="10" style="38"/>
    <col min="2491" max="2491" width="1.88671875" style="38" customWidth="1"/>
    <col min="2492" max="2492" width="1" style="38" customWidth="1"/>
    <col min="2493" max="2493" width="0.88671875" style="38" customWidth="1"/>
    <col min="2494" max="2494" width="58.33203125" style="38" customWidth="1"/>
    <col min="2495" max="2496" width="1" style="38" customWidth="1"/>
    <col min="2497" max="2497" width="16.88671875" style="38" customWidth="1"/>
    <col min="2498" max="2499" width="1" style="38" customWidth="1"/>
    <col min="2500" max="2554" width="0" style="38" hidden="1" customWidth="1"/>
    <col min="2555" max="2556" width="1" style="38" customWidth="1"/>
    <col min="2557" max="2557" width="17.88671875" style="38" customWidth="1"/>
    <col min="2558" max="2561" width="1" style="38" customWidth="1"/>
    <col min="2562" max="2562" width="16.109375" style="38" customWidth="1"/>
    <col min="2563" max="2566" width="1" style="38" customWidth="1"/>
    <col min="2567" max="2567" width="15.109375" style="38" customWidth="1"/>
    <col min="2568" max="2569" width="1" style="38" customWidth="1"/>
    <col min="2570" max="2624" width="0" style="38" hidden="1" customWidth="1"/>
    <col min="2625" max="2626" width="1" style="38" customWidth="1"/>
    <col min="2627" max="2627" width="17.88671875" style="38" customWidth="1"/>
    <col min="2628" max="2631" width="1" style="38" customWidth="1"/>
    <col min="2632" max="2632" width="15.6640625" style="38" customWidth="1"/>
    <col min="2633" max="2634" width="1" style="38" customWidth="1"/>
    <col min="2635" max="2635" width="0.6640625" style="38" customWidth="1"/>
    <col min="2636" max="2636" width="3.33203125" style="38" customWidth="1"/>
    <col min="2637" max="2637" width="10" style="38"/>
    <col min="2638" max="2638" width="10.44140625" style="38" bestFit="1" customWidth="1"/>
    <col min="2639" max="2746" width="10" style="38"/>
    <col min="2747" max="2747" width="1.88671875" style="38" customWidth="1"/>
    <col min="2748" max="2748" width="1" style="38" customWidth="1"/>
    <col min="2749" max="2749" width="0.88671875" style="38" customWidth="1"/>
    <col min="2750" max="2750" width="58.33203125" style="38" customWidth="1"/>
    <col min="2751" max="2752" width="1" style="38" customWidth="1"/>
    <col min="2753" max="2753" width="16.88671875" style="38" customWidth="1"/>
    <col min="2754" max="2755" width="1" style="38" customWidth="1"/>
    <col min="2756" max="2810" width="0" style="38" hidden="1" customWidth="1"/>
    <col min="2811" max="2812" width="1" style="38" customWidth="1"/>
    <col min="2813" max="2813" width="17.88671875" style="38" customWidth="1"/>
    <col min="2814" max="2817" width="1" style="38" customWidth="1"/>
    <col min="2818" max="2818" width="16.109375" style="38" customWidth="1"/>
    <col min="2819" max="2822" width="1" style="38" customWidth="1"/>
    <col min="2823" max="2823" width="15.109375" style="38" customWidth="1"/>
    <col min="2824" max="2825" width="1" style="38" customWidth="1"/>
    <col min="2826" max="2880" width="0" style="38" hidden="1" customWidth="1"/>
    <col min="2881" max="2882" width="1" style="38" customWidth="1"/>
    <col min="2883" max="2883" width="17.88671875" style="38" customWidth="1"/>
    <col min="2884" max="2887" width="1" style="38" customWidth="1"/>
    <col min="2888" max="2888" width="15.6640625" style="38" customWidth="1"/>
    <col min="2889" max="2890" width="1" style="38" customWidth="1"/>
    <col min="2891" max="2891" width="0.6640625" style="38" customWidth="1"/>
    <col min="2892" max="2892" width="3.33203125" style="38" customWidth="1"/>
    <col min="2893" max="2893" width="10" style="38"/>
    <col min="2894" max="2894" width="10.44140625" style="38" bestFit="1" customWidth="1"/>
    <col min="2895" max="3002" width="10" style="38"/>
    <col min="3003" max="3003" width="1.88671875" style="38" customWidth="1"/>
    <col min="3004" max="3004" width="1" style="38" customWidth="1"/>
    <col min="3005" max="3005" width="0.88671875" style="38" customWidth="1"/>
    <col min="3006" max="3006" width="58.33203125" style="38" customWidth="1"/>
    <col min="3007" max="3008" width="1" style="38" customWidth="1"/>
    <col min="3009" max="3009" width="16.88671875" style="38" customWidth="1"/>
    <col min="3010" max="3011" width="1" style="38" customWidth="1"/>
    <col min="3012" max="3066" width="0" style="38" hidden="1" customWidth="1"/>
    <col min="3067" max="3068" width="1" style="38" customWidth="1"/>
    <col min="3069" max="3069" width="17.88671875" style="38" customWidth="1"/>
    <col min="3070" max="3073" width="1" style="38" customWidth="1"/>
    <col min="3074" max="3074" width="16.109375" style="38" customWidth="1"/>
    <col min="3075" max="3078" width="1" style="38" customWidth="1"/>
    <col min="3079" max="3079" width="15.109375" style="38" customWidth="1"/>
    <col min="3080" max="3081" width="1" style="38" customWidth="1"/>
    <col min="3082" max="3136" width="0" style="38" hidden="1" customWidth="1"/>
    <col min="3137" max="3138" width="1" style="38" customWidth="1"/>
    <col min="3139" max="3139" width="17.88671875" style="38" customWidth="1"/>
    <col min="3140" max="3143" width="1" style="38" customWidth="1"/>
    <col min="3144" max="3144" width="15.6640625" style="38" customWidth="1"/>
    <col min="3145" max="3146" width="1" style="38" customWidth="1"/>
    <col min="3147" max="3147" width="0.6640625" style="38" customWidth="1"/>
    <col min="3148" max="3148" width="3.33203125" style="38" customWidth="1"/>
    <col min="3149" max="3149" width="10" style="38"/>
    <col min="3150" max="3150" width="10.44140625" style="38" bestFit="1" customWidth="1"/>
    <col min="3151" max="3258" width="10" style="38"/>
    <col min="3259" max="3259" width="1.88671875" style="38" customWidth="1"/>
    <col min="3260" max="3260" width="1" style="38" customWidth="1"/>
    <col min="3261" max="3261" width="0.88671875" style="38" customWidth="1"/>
    <col min="3262" max="3262" width="58.33203125" style="38" customWidth="1"/>
    <col min="3263" max="3264" width="1" style="38" customWidth="1"/>
    <col min="3265" max="3265" width="16.88671875" style="38" customWidth="1"/>
    <col min="3266" max="3267" width="1" style="38" customWidth="1"/>
    <col min="3268" max="3322" width="0" style="38" hidden="1" customWidth="1"/>
    <col min="3323" max="3324" width="1" style="38" customWidth="1"/>
    <col min="3325" max="3325" width="17.88671875" style="38" customWidth="1"/>
    <col min="3326" max="3329" width="1" style="38" customWidth="1"/>
    <col min="3330" max="3330" width="16.109375" style="38" customWidth="1"/>
    <col min="3331" max="3334" width="1" style="38" customWidth="1"/>
    <col min="3335" max="3335" width="15.109375" style="38" customWidth="1"/>
    <col min="3336" max="3337" width="1" style="38" customWidth="1"/>
    <col min="3338" max="3392" width="0" style="38" hidden="1" customWidth="1"/>
    <col min="3393" max="3394" width="1" style="38" customWidth="1"/>
    <col min="3395" max="3395" width="17.88671875" style="38" customWidth="1"/>
    <col min="3396" max="3399" width="1" style="38" customWidth="1"/>
    <col min="3400" max="3400" width="15.6640625" style="38" customWidth="1"/>
    <col min="3401" max="3402" width="1" style="38" customWidth="1"/>
    <col min="3403" max="3403" width="0.6640625" style="38" customWidth="1"/>
    <col min="3404" max="3404" width="3.33203125" style="38" customWidth="1"/>
    <col min="3405" max="3405" width="10" style="38"/>
    <col min="3406" max="3406" width="10.44140625" style="38" bestFit="1" customWidth="1"/>
    <col min="3407" max="3514" width="10" style="38"/>
    <col min="3515" max="3515" width="1.88671875" style="38" customWidth="1"/>
    <col min="3516" max="3516" width="1" style="38" customWidth="1"/>
    <col min="3517" max="3517" width="0.88671875" style="38" customWidth="1"/>
    <col min="3518" max="3518" width="58.33203125" style="38" customWidth="1"/>
    <col min="3519" max="3520" width="1" style="38" customWidth="1"/>
    <col min="3521" max="3521" width="16.88671875" style="38" customWidth="1"/>
    <col min="3522" max="3523" width="1" style="38" customWidth="1"/>
    <col min="3524" max="3578" width="0" style="38" hidden="1" customWidth="1"/>
    <col min="3579" max="3580" width="1" style="38" customWidth="1"/>
    <col min="3581" max="3581" width="17.88671875" style="38" customWidth="1"/>
    <col min="3582" max="3585" width="1" style="38" customWidth="1"/>
    <col min="3586" max="3586" width="16.109375" style="38" customWidth="1"/>
    <col min="3587" max="3590" width="1" style="38" customWidth="1"/>
    <col min="3591" max="3591" width="15.109375" style="38" customWidth="1"/>
    <col min="3592" max="3593" width="1" style="38" customWidth="1"/>
    <col min="3594" max="3648" width="0" style="38" hidden="1" customWidth="1"/>
    <col min="3649" max="3650" width="1" style="38" customWidth="1"/>
    <col min="3651" max="3651" width="17.88671875" style="38" customWidth="1"/>
    <col min="3652" max="3655" width="1" style="38" customWidth="1"/>
    <col min="3656" max="3656" width="15.6640625" style="38" customWidth="1"/>
    <col min="3657" max="3658" width="1" style="38" customWidth="1"/>
    <col min="3659" max="3659" width="0.6640625" style="38" customWidth="1"/>
    <col min="3660" max="3660" width="3.33203125" style="38" customWidth="1"/>
    <col min="3661" max="3661" width="10" style="38"/>
    <col min="3662" max="3662" width="10.44140625" style="38" bestFit="1" customWidth="1"/>
    <col min="3663" max="3770" width="10" style="38"/>
    <col min="3771" max="3771" width="1.88671875" style="38" customWidth="1"/>
    <col min="3772" max="3772" width="1" style="38" customWidth="1"/>
    <col min="3773" max="3773" width="0.88671875" style="38" customWidth="1"/>
    <col min="3774" max="3774" width="58.33203125" style="38" customWidth="1"/>
    <col min="3775" max="3776" width="1" style="38" customWidth="1"/>
    <col min="3777" max="3777" width="16.88671875" style="38" customWidth="1"/>
    <col min="3778" max="3779" width="1" style="38" customWidth="1"/>
    <col min="3780" max="3834" width="0" style="38" hidden="1" customWidth="1"/>
    <col min="3835" max="3836" width="1" style="38" customWidth="1"/>
    <col min="3837" max="3837" width="17.88671875" style="38" customWidth="1"/>
    <col min="3838" max="3841" width="1" style="38" customWidth="1"/>
    <col min="3842" max="3842" width="16.109375" style="38" customWidth="1"/>
    <col min="3843" max="3846" width="1" style="38" customWidth="1"/>
    <col min="3847" max="3847" width="15.109375" style="38" customWidth="1"/>
    <col min="3848" max="3849" width="1" style="38" customWidth="1"/>
    <col min="3850" max="3904" width="0" style="38" hidden="1" customWidth="1"/>
    <col min="3905" max="3906" width="1" style="38" customWidth="1"/>
    <col min="3907" max="3907" width="17.88671875" style="38" customWidth="1"/>
    <col min="3908" max="3911" width="1" style="38" customWidth="1"/>
    <col min="3912" max="3912" width="15.6640625" style="38" customWidth="1"/>
    <col min="3913" max="3914" width="1" style="38" customWidth="1"/>
    <col min="3915" max="3915" width="0.6640625" style="38" customWidth="1"/>
    <col min="3916" max="3916" width="3.33203125" style="38" customWidth="1"/>
    <col min="3917" max="3917" width="10" style="38"/>
    <col min="3918" max="3918" width="10.44140625" style="38" bestFit="1" customWidth="1"/>
    <col min="3919" max="4026" width="10" style="38"/>
    <col min="4027" max="4027" width="1.88671875" style="38" customWidth="1"/>
    <col min="4028" max="4028" width="1" style="38" customWidth="1"/>
    <col min="4029" max="4029" width="0.88671875" style="38" customWidth="1"/>
    <col min="4030" max="4030" width="58.33203125" style="38" customWidth="1"/>
    <col min="4031" max="4032" width="1" style="38" customWidth="1"/>
    <col min="4033" max="4033" width="16.88671875" style="38" customWidth="1"/>
    <col min="4034" max="4035" width="1" style="38" customWidth="1"/>
    <col min="4036" max="4090" width="0" style="38" hidden="1" customWidth="1"/>
    <col min="4091" max="4092" width="1" style="38" customWidth="1"/>
    <col min="4093" max="4093" width="17.88671875" style="38" customWidth="1"/>
    <col min="4094" max="4097" width="1" style="38" customWidth="1"/>
    <col min="4098" max="4098" width="16.109375" style="38" customWidth="1"/>
    <col min="4099" max="4102" width="1" style="38" customWidth="1"/>
    <col min="4103" max="4103" width="15.109375" style="38" customWidth="1"/>
    <col min="4104" max="4105" width="1" style="38" customWidth="1"/>
    <col min="4106" max="4160" width="0" style="38" hidden="1" customWidth="1"/>
    <col min="4161" max="4162" width="1" style="38" customWidth="1"/>
    <col min="4163" max="4163" width="17.88671875" style="38" customWidth="1"/>
    <col min="4164" max="4167" width="1" style="38" customWidth="1"/>
    <col min="4168" max="4168" width="15.6640625" style="38" customWidth="1"/>
    <col min="4169" max="4170" width="1" style="38" customWidth="1"/>
    <col min="4171" max="4171" width="0.6640625" style="38" customWidth="1"/>
    <col min="4172" max="4172" width="3.33203125" style="38" customWidth="1"/>
    <col min="4173" max="4173" width="10" style="38"/>
    <col min="4174" max="4174" width="10.44140625" style="38" bestFit="1" customWidth="1"/>
    <col min="4175" max="4282" width="10" style="38"/>
    <col min="4283" max="4283" width="1.88671875" style="38" customWidth="1"/>
    <col min="4284" max="4284" width="1" style="38" customWidth="1"/>
    <col min="4285" max="4285" width="0.88671875" style="38" customWidth="1"/>
    <col min="4286" max="4286" width="58.33203125" style="38" customWidth="1"/>
    <col min="4287" max="4288" width="1" style="38" customWidth="1"/>
    <col min="4289" max="4289" width="16.88671875" style="38" customWidth="1"/>
    <col min="4290" max="4291" width="1" style="38" customWidth="1"/>
    <col min="4292" max="4346" width="0" style="38" hidden="1" customWidth="1"/>
    <col min="4347" max="4348" width="1" style="38" customWidth="1"/>
    <col min="4349" max="4349" width="17.88671875" style="38" customWidth="1"/>
    <col min="4350" max="4353" width="1" style="38" customWidth="1"/>
    <col min="4354" max="4354" width="16.109375" style="38" customWidth="1"/>
    <col min="4355" max="4358" width="1" style="38" customWidth="1"/>
    <col min="4359" max="4359" width="15.109375" style="38" customWidth="1"/>
    <col min="4360" max="4361" width="1" style="38" customWidth="1"/>
    <col min="4362" max="4416" width="0" style="38" hidden="1" customWidth="1"/>
    <col min="4417" max="4418" width="1" style="38" customWidth="1"/>
    <col min="4419" max="4419" width="17.88671875" style="38" customWidth="1"/>
    <col min="4420" max="4423" width="1" style="38" customWidth="1"/>
    <col min="4424" max="4424" width="15.6640625" style="38" customWidth="1"/>
    <col min="4425" max="4426" width="1" style="38" customWidth="1"/>
    <col min="4427" max="4427" width="0.6640625" style="38" customWidth="1"/>
    <col min="4428" max="4428" width="3.33203125" style="38" customWidth="1"/>
    <col min="4429" max="4429" width="10" style="38"/>
    <col min="4430" max="4430" width="10.44140625" style="38" bestFit="1" customWidth="1"/>
    <col min="4431" max="4538" width="10" style="38"/>
    <col min="4539" max="4539" width="1.88671875" style="38" customWidth="1"/>
    <col min="4540" max="4540" width="1" style="38" customWidth="1"/>
    <col min="4541" max="4541" width="0.88671875" style="38" customWidth="1"/>
    <col min="4542" max="4542" width="58.33203125" style="38" customWidth="1"/>
    <col min="4543" max="4544" width="1" style="38" customWidth="1"/>
    <col min="4545" max="4545" width="16.88671875" style="38" customWidth="1"/>
    <col min="4546" max="4547" width="1" style="38" customWidth="1"/>
    <col min="4548" max="4602" width="0" style="38" hidden="1" customWidth="1"/>
    <col min="4603" max="4604" width="1" style="38" customWidth="1"/>
    <col min="4605" max="4605" width="17.88671875" style="38" customWidth="1"/>
    <col min="4606" max="4609" width="1" style="38" customWidth="1"/>
    <col min="4610" max="4610" width="16.109375" style="38" customWidth="1"/>
    <col min="4611" max="4614" width="1" style="38" customWidth="1"/>
    <col min="4615" max="4615" width="15.109375" style="38" customWidth="1"/>
    <col min="4616" max="4617" width="1" style="38" customWidth="1"/>
    <col min="4618" max="4672" width="0" style="38" hidden="1" customWidth="1"/>
    <col min="4673" max="4674" width="1" style="38" customWidth="1"/>
    <col min="4675" max="4675" width="17.88671875" style="38" customWidth="1"/>
    <col min="4676" max="4679" width="1" style="38" customWidth="1"/>
    <col min="4680" max="4680" width="15.6640625" style="38" customWidth="1"/>
    <col min="4681" max="4682" width="1" style="38" customWidth="1"/>
    <col min="4683" max="4683" width="0.6640625" style="38" customWidth="1"/>
    <col min="4684" max="4684" width="3.33203125" style="38" customWidth="1"/>
    <col min="4685" max="4685" width="10" style="38"/>
    <col min="4686" max="4686" width="10.44140625" style="38" bestFit="1" customWidth="1"/>
    <col min="4687" max="4794" width="10" style="38"/>
    <col min="4795" max="4795" width="1.88671875" style="38" customWidth="1"/>
    <col min="4796" max="4796" width="1" style="38" customWidth="1"/>
    <col min="4797" max="4797" width="0.88671875" style="38" customWidth="1"/>
    <col min="4798" max="4798" width="58.33203125" style="38" customWidth="1"/>
    <col min="4799" max="4800" width="1" style="38" customWidth="1"/>
    <col min="4801" max="4801" width="16.88671875" style="38" customWidth="1"/>
    <col min="4802" max="4803" width="1" style="38" customWidth="1"/>
    <col min="4804" max="4858" width="0" style="38" hidden="1" customWidth="1"/>
    <col min="4859" max="4860" width="1" style="38" customWidth="1"/>
    <col min="4861" max="4861" width="17.88671875" style="38" customWidth="1"/>
    <col min="4862" max="4865" width="1" style="38" customWidth="1"/>
    <col min="4866" max="4866" width="16.109375" style="38" customWidth="1"/>
    <col min="4867" max="4870" width="1" style="38" customWidth="1"/>
    <col min="4871" max="4871" width="15.109375" style="38" customWidth="1"/>
    <col min="4872" max="4873" width="1" style="38" customWidth="1"/>
    <col min="4874" max="4928" width="0" style="38" hidden="1" customWidth="1"/>
    <col min="4929" max="4930" width="1" style="38" customWidth="1"/>
    <col min="4931" max="4931" width="17.88671875" style="38" customWidth="1"/>
    <col min="4932" max="4935" width="1" style="38" customWidth="1"/>
    <col min="4936" max="4936" width="15.6640625" style="38" customWidth="1"/>
    <col min="4937" max="4938" width="1" style="38" customWidth="1"/>
    <col min="4939" max="4939" width="0.6640625" style="38" customWidth="1"/>
    <col min="4940" max="4940" width="3.33203125" style="38" customWidth="1"/>
    <col min="4941" max="4941" width="10" style="38"/>
    <col min="4942" max="4942" width="10.44140625" style="38" bestFit="1" customWidth="1"/>
    <col min="4943" max="5050" width="10" style="38"/>
    <col min="5051" max="5051" width="1.88671875" style="38" customWidth="1"/>
    <col min="5052" max="5052" width="1" style="38" customWidth="1"/>
    <col min="5053" max="5053" width="0.88671875" style="38" customWidth="1"/>
    <col min="5054" max="5054" width="58.33203125" style="38" customWidth="1"/>
    <col min="5055" max="5056" width="1" style="38" customWidth="1"/>
    <col min="5057" max="5057" width="16.88671875" style="38" customWidth="1"/>
    <col min="5058" max="5059" width="1" style="38" customWidth="1"/>
    <col min="5060" max="5114" width="0" style="38" hidden="1" customWidth="1"/>
    <col min="5115" max="5116" width="1" style="38" customWidth="1"/>
    <col min="5117" max="5117" width="17.88671875" style="38" customWidth="1"/>
    <col min="5118" max="5121" width="1" style="38" customWidth="1"/>
    <col min="5122" max="5122" width="16.109375" style="38" customWidth="1"/>
    <col min="5123" max="5126" width="1" style="38" customWidth="1"/>
    <col min="5127" max="5127" width="15.109375" style="38" customWidth="1"/>
    <col min="5128" max="5129" width="1" style="38" customWidth="1"/>
    <col min="5130" max="5184" width="0" style="38" hidden="1" customWidth="1"/>
    <col min="5185" max="5186" width="1" style="38" customWidth="1"/>
    <col min="5187" max="5187" width="17.88671875" style="38" customWidth="1"/>
    <col min="5188" max="5191" width="1" style="38" customWidth="1"/>
    <col min="5192" max="5192" width="15.6640625" style="38" customWidth="1"/>
    <col min="5193" max="5194" width="1" style="38" customWidth="1"/>
    <col min="5195" max="5195" width="0.6640625" style="38" customWidth="1"/>
    <col min="5196" max="5196" width="3.33203125" style="38" customWidth="1"/>
    <col min="5197" max="5197" width="10" style="38"/>
    <col min="5198" max="5198" width="10.44140625" style="38" bestFit="1" customWidth="1"/>
    <col min="5199" max="5306" width="10" style="38"/>
    <col min="5307" max="5307" width="1.88671875" style="38" customWidth="1"/>
    <col min="5308" max="5308" width="1" style="38" customWidth="1"/>
    <col min="5309" max="5309" width="0.88671875" style="38" customWidth="1"/>
    <col min="5310" max="5310" width="58.33203125" style="38" customWidth="1"/>
    <col min="5311" max="5312" width="1" style="38" customWidth="1"/>
    <col min="5313" max="5313" width="16.88671875" style="38" customWidth="1"/>
    <col min="5314" max="5315" width="1" style="38" customWidth="1"/>
    <col min="5316" max="5370" width="0" style="38" hidden="1" customWidth="1"/>
    <col min="5371" max="5372" width="1" style="38" customWidth="1"/>
    <col min="5373" max="5373" width="17.88671875" style="38" customWidth="1"/>
    <col min="5374" max="5377" width="1" style="38" customWidth="1"/>
    <col min="5378" max="5378" width="16.109375" style="38" customWidth="1"/>
    <col min="5379" max="5382" width="1" style="38" customWidth="1"/>
    <col min="5383" max="5383" width="15.109375" style="38" customWidth="1"/>
    <col min="5384" max="5385" width="1" style="38" customWidth="1"/>
    <col min="5386" max="5440" width="0" style="38" hidden="1" customWidth="1"/>
    <col min="5441" max="5442" width="1" style="38" customWidth="1"/>
    <col min="5443" max="5443" width="17.88671875" style="38" customWidth="1"/>
    <col min="5444" max="5447" width="1" style="38" customWidth="1"/>
    <col min="5448" max="5448" width="15.6640625" style="38" customWidth="1"/>
    <col min="5449" max="5450" width="1" style="38" customWidth="1"/>
    <col min="5451" max="5451" width="0.6640625" style="38" customWidth="1"/>
    <col min="5452" max="5452" width="3.33203125" style="38" customWidth="1"/>
    <col min="5453" max="5453" width="10" style="38"/>
    <col min="5454" max="5454" width="10.44140625" style="38" bestFit="1" customWidth="1"/>
    <col min="5455" max="5562" width="10" style="38"/>
    <col min="5563" max="5563" width="1.88671875" style="38" customWidth="1"/>
    <col min="5564" max="5564" width="1" style="38" customWidth="1"/>
    <col min="5565" max="5565" width="0.88671875" style="38" customWidth="1"/>
    <col min="5566" max="5566" width="58.33203125" style="38" customWidth="1"/>
    <col min="5567" max="5568" width="1" style="38" customWidth="1"/>
    <col min="5569" max="5569" width="16.88671875" style="38" customWidth="1"/>
    <col min="5570" max="5571" width="1" style="38" customWidth="1"/>
    <col min="5572" max="5626" width="0" style="38" hidden="1" customWidth="1"/>
    <col min="5627" max="5628" width="1" style="38" customWidth="1"/>
    <col min="5629" max="5629" width="17.88671875" style="38" customWidth="1"/>
    <col min="5630" max="5633" width="1" style="38" customWidth="1"/>
    <col min="5634" max="5634" width="16.109375" style="38" customWidth="1"/>
    <col min="5635" max="5638" width="1" style="38" customWidth="1"/>
    <col min="5639" max="5639" width="15.109375" style="38" customWidth="1"/>
    <col min="5640" max="5641" width="1" style="38" customWidth="1"/>
    <col min="5642" max="5696" width="0" style="38" hidden="1" customWidth="1"/>
    <col min="5697" max="5698" width="1" style="38" customWidth="1"/>
    <col min="5699" max="5699" width="17.88671875" style="38" customWidth="1"/>
    <col min="5700" max="5703" width="1" style="38" customWidth="1"/>
    <col min="5704" max="5704" width="15.6640625" style="38" customWidth="1"/>
    <col min="5705" max="5706" width="1" style="38" customWidth="1"/>
    <col min="5707" max="5707" width="0.6640625" style="38" customWidth="1"/>
    <col min="5708" max="5708" width="3.33203125" style="38" customWidth="1"/>
    <col min="5709" max="5709" width="10" style="38"/>
    <col min="5710" max="5710" width="10.44140625" style="38" bestFit="1" customWidth="1"/>
    <col min="5711" max="5818" width="10" style="38"/>
    <col min="5819" max="5819" width="1.88671875" style="38" customWidth="1"/>
    <col min="5820" max="5820" width="1" style="38" customWidth="1"/>
    <col min="5821" max="5821" width="0.88671875" style="38" customWidth="1"/>
    <col min="5822" max="5822" width="58.33203125" style="38" customWidth="1"/>
    <col min="5823" max="5824" width="1" style="38" customWidth="1"/>
    <col min="5825" max="5825" width="16.88671875" style="38" customWidth="1"/>
    <col min="5826" max="5827" width="1" style="38" customWidth="1"/>
    <col min="5828" max="5882" width="0" style="38" hidden="1" customWidth="1"/>
    <col min="5883" max="5884" width="1" style="38" customWidth="1"/>
    <col min="5885" max="5885" width="17.88671875" style="38" customWidth="1"/>
    <col min="5886" max="5889" width="1" style="38" customWidth="1"/>
    <col min="5890" max="5890" width="16.109375" style="38" customWidth="1"/>
    <col min="5891" max="5894" width="1" style="38" customWidth="1"/>
    <col min="5895" max="5895" width="15.109375" style="38" customWidth="1"/>
    <col min="5896" max="5897" width="1" style="38" customWidth="1"/>
    <col min="5898" max="5952" width="0" style="38" hidden="1" customWidth="1"/>
    <col min="5953" max="5954" width="1" style="38" customWidth="1"/>
    <col min="5955" max="5955" width="17.88671875" style="38" customWidth="1"/>
    <col min="5956" max="5959" width="1" style="38" customWidth="1"/>
    <col min="5960" max="5960" width="15.6640625" style="38" customWidth="1"/>
    <col min="5961" max="5962" width="1" style="38" customWidth="1"/>
    <col min="5963" max="5963" width="0.6640625" style="38" customWidth="1"/>
    <col min="5964" max="5964" width="3.33203125" style="38" customWidth="1"/>
    <col min="5965" max="5965" width="10" style="38"/>
    <col min="5966" max="5966" width="10.44140625" style="38" bestFit="1" customWidth="1"/>
    <col min="5967" max="6074" width="10" style="38"/>
    <col min="6075" max="6075" width="1.88671875" style="38" customWidth="1"/>
    <col min="6076" max="6076" width="1" style="38" customWidth="1"/>
    <col min="6077" max="6077" width="0.88671875" style="38" customWidth="1"/>
    <col min="6078" max="6078" width="58.33203125" style="38" customWidth="1"/>
    <col min="6079" max="6080" width="1" style="38" customWidth="1"/>
    <col min="6081" max="6081" width="16.88671875" style="38" customWidth="1"/>
    <col min="6082" max="6083" width="1" style="38" customWidth="1"/>
    <col min="6084" max="6138" width="0" style="38" hidden="1" customWidth="1"/>
    <col min="6139" max="6140" width="1" style="38" customWidth="1"/>
    <col min="6141" max="6141" width="17.88671875" style="38" customWidth="1"/>
    <col min="6142" max="6145" width="1" style="38" customWidth="1"/>
    <col min="6146" max="6146" width="16.109375" style="38" customWidth="1"/>
    <col min="6147" max="6150" width="1" style="38" customWidth="1"/>
    <col min="6151" max="6151" width="15.109375" style="38" customWidth="1"/>
    <col min="6152" max="6153" width="1" style="38" customWidth="1"/>
    <col min="6154" max="6208" width="0" style="38" hidden="1" customWidth="1"/>
    <col min="6209" max="6210" width="1" style="38" customWidth="1"/>
    <col min="6211" max="6211" width="17.88671875" style="38" customWidth="1"/>
    <col min="6212" max="6215" width="1" style="38" customWidth="1"/>
    <col min="6216" max="6216" width="15.6640625" style="38" customWidth="1"/>
    <col min="6217" max="6218" width="1" style="38" customWidth="1"/>
    <col min="6219" max="6219" width="0.6640625" style="38" customWidth="1"/>
    <col min="6220" max="6220" width="3.33203125" style="38" customWidth="1"/>
    <col min="6221" max="6221" width="10" style="38"/>
    <col min="6222" max="6222" width="10.44140625" style="38" bestFit="1" customWidth="1"/>
    <col min="6223" max="6330" width="10" style="38"/>
    <col min="6331" max="6331" width="1.88671875" style="38" customWidth="1"/>
    <col min="6332" max="6332" width="1" style="38" customWidth="1"/>
    <col min="6333" max="6333" width="0.88671875" style="38" customWidth="1"/>
    <col min="6334" max="6334" width="58.33203125" style="38" customWidth="1"/>
    <col min="6335" max="6336" width="1" style="38" customWidth="1"/>
    <col min="6337" max="6337" width="16.88671875" style="38" customWidth="1"/>
    <col min="6338" max="6339" width="1" style="38" customWidth="1"/>
    <col min="6340" max="6394" width="0" style="38" hidden="1" customWidth="1"/>
    <col min="6395" max="6396" width="1" style="38" customWidth="1"/>
    <col min="6397" max="6397" width="17.88671875" style="38" customWidth="1"/>
    <col min="6398" max="6401" width="1" style="38" customWidth="1"/>
    <col min="6402" max="6402" width="16.109375" style="38" customWidth="1"/>
    <col min="6403" max="6406" width="1" style="38" customWidth="1"/>
    <col min="6407" max="6407" width="15.109375" style="38" customWidth="1"/>
    <col min="6408" max="6409" width="1" style="38" customWidth="1"/>
    <col min="6410" max="6464" width="0" style="38" hidden="1" customWidth="1"/>
    <col min="6465" max="6466" width="1" style="38" customWidth="1"/>
    <col min="6467" max="6467" width="17.88671875" style="38" customWidth="1"/>
    <col min="6468" max="6471" width="1" style="38" customWidth="1"/>
    <col min="6472" max="6472" width="15.6640625" style="38" customWidth="1"/>
    <col min="6473" max="6474" width="1" style="38" customWidth="1"/>
    <col min="6475" max="6475" width="0.6640625" style="38" customWidth="1"/>
    <col min="6476" max="6476" width="3.33203125" style="38" customWidth="1"/>
    <col min="6477" max="6477" width="10" style="38"/>
    <col min="6478" max="6478" width="10.44140625" style="38" bestFit="1" customWidth="1"/>
    <col min="6479" max="6586" width="10" style="38"/>
    <col min="6587" max="6587" width="1.88671875" style="38" customWidth="1"/>
    <col min="6588" max="6588" width="1" style="38" customWidth="1"/>
    <col min="6589" max="6589" width="0.88671875" style="38" customWidth="1"/>
    <col min="6590" max="6590" width="58.33203125" style="38" customWidth="1"/>
    <col min="6591" max="6592" width="1" style="38" customWidth="1"/>
    <col min="6593" max="6593" width="16.88671875" style="38" customWidth="1"/>
    <col min="6594" max="6595" width="1" style="38" customWidth="1"/>
    <col min="6596" max="6650" width="0" style="38" hidden="1" customWidth="1"/>
    <col min="6651" max="6652" width="1" style="38" customWidth="1"/>
    <col min="6653" max="6653" width="17.88671875" style="38" customWidth="1"/>
    <col min="6654" max="6657" width="1" style="38" customWidth="1"/>
    <col min="6658" max="6658" width="16.109375" style="38" customWidth="1"/>
    <col min="6659" max="6662" width="1" style="38" customWidth="1"/>
    <col min="6663" max="6663" width="15.109375" style="38" customWidth="1"/>
    <col min="6664" max="6665" width="1" style="38" customWidth="1"/>
    <col min="6666" max="6720" width="0" style="38" hidden="1" customWidth="1"/>
    <col min="6721" max="6722" width="1" style="38" customWidth="1"/>
    <col min="6723" max="6723" width="17.88671875" style="38" customWidth="1"/>
    <col min="6724" max="6727" width="1" style="38" customWidth="1"/>
    <col min="6728" max="6728" width="15.6640625" style="38" customWidth="1"/>
    <col min="6729" max="6730" width="1" style="38" customWidth="1"/>
    <col min="6731" max="6731" width="0.6640625" style="38" customWidth="1"/>
    <col min="6732" max="6732" width="3.33203125" style="38" customWidth="1"/>
    <col min="6733" max="6733" width="10" style="38"/>
    <col min="6734" max="6734" width="10.44140625" style="38" bestFit="1" customWidth="1"/>
    <col min="6735" max="6842" width="10" style="38"/>
    <col min="6843" max="6843" width="1.88671875" style="38" customWidth="1"/>
    <col min="6844" max="6844" width="1" style="38" customWidth="1"/>
    <col min="6845" max="6845" width="0.88671875" style="38" customWidth="1"/>
    <col min="6846" max="6846" width="58.33203125" style="38" customWidth="1"/>
    <col min="6847" max="6848" width="1" style="38" customWidth="1"/>
    <col min="6849" max="6849" width="16.88671875" style="38" customWidth="1"/>
    <col min="6850" max="6851" width="1" style="38" customWidth="1"/>
    <col min="6852" max="6906" width="0" style="38" hidden="1" customWidth="1"/>
    <col min="6907" max="6908" width="1" style="38" customWidth="1"/>
    <col min="6909" max="6909" width="17.88671875" style="38" customWidth="1"/>
    <col min="6910" max="6913" width="1" style="38" customWidth="1"/>
    <col min="6914" max="6914" width="16.109375" style="38" customWidth="1"/>
    <col min="6915" max="6918" width="1" style="38" customWidth="1"/>
    <col min="6919" max="6919" width="15.109375" style="38" customWidth="1"/>
    <col min="6920" max="6921" width="1" style="38" customWidth="1"/>
    <col min="6922" max="6976" width="0" style="38" hidden="1" customWidth="1"/>
    <col min="6977" max="6978" width="1" style="38" customWidth="1"/>
    <col min="6979" max="6979" width="17.88671875" style="38" customWidth="1"/>
    <col min="6980" max="6983" width="1" style="38" customWidth="1"/>
    <col min="6984" max="6984" width="15.6640625" style="38" customWidth="1"/>
    <col min="6985" max="6986" width="1" style="38" customWidth="1"/>
    <col min="6987" max="6987" width="0.6640625" style="38" customWidth="1"/>
    <col min="6988" max="6988" width="3.33203125" style="38" customWidth="1"/>
    <col min="6989" max="6989" width="10" style="38"/>
    <col min="6990" max="6990" width="10.44140625" style="38" bestFit="1" customWidth="1"/>
    <col min="6991" max="7098" width="10" style="38"/>
    <col min="7099" max="7099" width="1.88671875" style="38" customWidth="1"/>
    <col min="7100" max="7100" width="1" style="38" customWidth="1"/>
    <col min="7101" max="7101" width="0.88671875" style="38" customWidth="1"/>
    <col min="7102" max="7102" width="58.33203125" style="38" customWidth="1"/>
    <col min="7103" max="7104" width="1" style="38" customWidth="1"/>
    <col min="7105" max="7105" width="16.88671875" style="38" customWidth="1"/>
    <col min="7106" max="7107" width="1" style="38" customWidth="1"/>
    <col min="7108" max="7162" width="0" style="38" hidden="1" customWidth="1"/>
    <col min="7163" max="7164" width="1" style="38" customWidth="1"/>
    <col min="7165" max="7165" width="17.88671875" style="38" customWidth="1"/>
    <col min="7166" max="7169" width="1" style="38" customWidth="1"/>
    <col min="7170" max="7170" width="16.109375" style="38" customWidth="1"/>
    <col min="7171" max="7174" width="1" style="38" customWidth="1"/>
    <col min="7175" max="7175" width="15.109375" style="38" customWidth="1"/>
    <col min="7176" max="7177" width="1" style="38" customWidth="1"/>
    <col min="7178" max="7232" width="0" style="38" hidden="1" customWidth="1"/>
    <col min="7233" max="7234" width="1" style="38" customWidth="1"/>
    <col min="7235" max="7235" width="17.88671875" style="38" customWidth="1"/>
    <col min="7236" max="7239" width="1" style="38" customWidth="1"/>
    <col min="7240" max="7240" width="15.6640625" style="38" customWidth="1"/>
    <col min="7241" max="7242" width="1" style="38" customWidth="1"/>
    <col min="7243" max="7243" width="0.6640625" style="38" customWidth="1"/>
    <col min="7244" max="7244" width="3.33203125" style="38" customWidth="1"/>
    <col min="7245" max="7245" width="10" style="38"/>
    <col min="7246" max="7246" width="10.44140625" style="38" bestFit="1" customWidth="1"/>
    <col min="7247" max="7354" width="10" style="38"/>
    <col min="7355" max="7355" width="1.88671875" style="38" customWidth="1"/>
    <col min="7356" max="7356" width="1" style="38" customWidth="1"/>
    <col min="7357" max="7357" width="0.88671875" style="38" customWidth="1"/>
    <col min="7358" max="7358" width="58.33203125" style="38" customWidth="1"/>
    <col min="7359" max="7360" width="1" style="38" customWidth="1"/>
    <col min="7361" max="7361" width="16.88671875" style="38" customWidth="1"/>
    <col min="7362" max="7363" width="1" style="38" customWidth="1"/>
    <col min="7364" max="7418" width="0" style="38" hidden="1" customWidth="1"/>
    <col min="7419" max="7420" width="1" style="38" customWidth="1"/>
    <col min="7421" max="7421" width="17.88671875" style="38" customWidth="1"/>
    <col min="7422" max="7425" width="1" style="38" customWidth="1"/>
    <col min="7426" max="7426" width="16.109375" style="38" customWidth="1"/>
    <col min="7427" max="7430" width="1" style="38" customWidth="1"/>
    <col min="7431" max="7431" width="15.109375" style="38" customWidth="1"/>
    <col min="7432" max="7433" width="1" style="38" customWidth="1"/>
    <col min="7434" max="7488" width="0" style="38" hidden="1" customWidth="1"/>
    <col min="7489" max="7490" width="1" style="38" customWidth="1"/>
    <col min="7491" max="7491" width="17.88671875" style="38" customWidth="1"/>
    <col min="7492" max="7495" width="1" style="38" customWidth="1"/>
    <col min="7496" max="7496" width="15.6640625" style="38" customWidth="1"/>
    <col min="7497" max="7498" width="1" style="38" customWidth="1"/>
    <col min="7499" max="7499" width="0.6640625" style="38" customWidth="1"/>
    <col min="7500" max="7500" width="3.33203125" style="38" customWidth="1"/>
    <col min="7501" max="7501" width="10" style="38"/>
    <col min="7502" max="7502" width="10.44140625" style="38" bestFit="1" customWidth="1"/>
    <col min="7503" max="7610" width="10" style="38"/>
    <col min="7611" max="7611" width="1.88671875" style="38" customWidth="1"/>
    <col min="7612" max="7612" width="1" style="38" customWidth="1"/>
    <col min="7613" max="7613" width="0.88671875" style="38" customWidth="1"/>
    <col min="7614" max="7614" width="58.33203125" style="38" customWidth="1"/>
    <col min="7615" max="7616" width="1" style="38" customWidth="1"/>
    <col min="7617" max="7617" width="16.88671875" style="38" customWidth="1"/>
    <col min="7618" max="7619" width="1" style="38" customWidth="1"/>
    <col min="7620" max="7674" width="0" style="38" hidden="1" customWidth="1"/>
    <col min="7675" max="7676" width="1" style="38" customWidth="1"/>
    <col min="7677" max="7677" width="17.88671875" style="38" customWidth="1"/>
    <col min="7678" max="7681" width="1" style="38" customWidth="1"/>
    <col min="7682" max="7682" width="16.109375" style="38" customWidth="1"/>
    <col min="7683" max="7686" width="1" style="38" customWidth="1"/>
    <col min="7687" max="7687" width="15.109375" style="38" customWidth="1"/>
    <col min="7688" max="7689" width="1" style="38" customWidth="1"/>
    <col min="7690" max="7744" width="0" style="38" hidden="1" customWidth="1"/>
    <col min="7745" max="7746" width="1" style="38" customWidth="1"/>
    <col min="7747" max="7747" width="17.88671875" style="38" customWidth="1"/>
    <col min="7748" max="7751" width="1" style="38" customWidth="1"/>
    <col min="7752" max="7752" width="15.6640625" style="38" customWidth="1"/>
    <col min="7753" max="7754" width="1" style="38" customWidth="1"/>
    <col min="7755" max="7755" width="0.6640625" style="38" customWidth="1"/>
    <col min="7756" max="7756" width="3.33203125" style="38" customWidth="1"/>
    <col min="7757" max="7757" width="10" style="38"/>
    <col min="7758" max="7758" width="10.44140625" style="38" bestFit="1" customWidth="1"/>
    <col min="7759" max="7866" width="10" style="38"/>
    <col min="7867" max="7867" width="1.88671875" style="38" customWidth="1"/>
    <col min="7868" max="7868" width="1" style="38" customWidth="1"/>
    <col min="7869" max="7869" width="0.88671875" style="38" customWidth="1"/>
    <col min="7870" max="7870" width="58.33203125" style="38" customWidth="1"/>
    <col min="7871" max="7872" width="1" style="38" customWidth="1"/>
    <col min="7873" max="7873" width="16.88671875" style="38" customWidth="1"/>
    <col min="7874" max="7875" width="1" style="38" customWidth="1"/>
    <col min="7876" max="7930" width="0" style="38" hidden="1" customWidth="1"/>
    <col min="7931" max="7932" width="1" style="38" customWidth="1"/>
    <col min="7933" max="7933" width="17.88671875" style="38" customWidth="1"/>
    <col min="7934" max="7937" width="1" style="38" customWidth="1"/>
    <col min="7938" max="7938" width="16.109375" style="38" customWidth="1"/>
    <col min="7939" max="7942" width="1" style="38" customWidth="1"/>
    <col min="7943" max="7943" width="15.109375" style="38" customWidth="1"/>
    <col min="7944" max="7945" width="1" style="38" customWidth="1"/>
    <col min="7946" max="8000" width="0" style="38" hidden="1" customWidth="1"/>
    <col min="8001" max="8002" width="1" style="38" customWidth="1"/>
    <col min="8003" max="8003" width="17.88671875" style="38" customWidth="1"/>
    <col min="8004" max="8007" width="1" style="38" customWidth="1"/>
    <col min="8008" max="8008" width="15.6640625" style="38" customWidth="1"/>
    <col min="8009" max="8010" width="1" style="38" customWidth="1"/>
    <col min="8011" max="8011" width="0.6640625" style="38" customWidth="1"/>
    <col min="8012" max="8012" width="3.33203125" style="38" customWidth="1"/>
    <col min="8013" max="8013" width="10" style="38"/>
    <col min="8014" max="8014" width="10.44140625" style="38" bestFit="1" customWidth="1"/>
    <col min="8015" max="8122" width="10" style="38"/>
    <col min="8123" max="8123" width="1.88671875" style="38" customWidth="1"/>
    <col min="8124" max="8124" width="1" style="38" customWidth="1"/>
    <col min="8125" max="8125" width="0.88671875" style="38" customWidth="1"/>
    <col min="8126" max="8126" width="58.33203125" style="38" customWidth="1"/>
    <col min="8127" max="8128" width="1" style="38" customWidth="1"/>
    <col min="8129" max="8129" width="16.88671875" style="38" customWidth="1"/>
    <col min="8130" max="8131" width="1" style="38" customWidth="1"/>
    <col min="8132" max="8186" width="0" style="38" hidden="1" customWidth="1"/>
    <col min="8187" max="8188" width="1" style="38" customWidth="1"/>
    <col min="8189" max="8189" width="17.88671875" style="38" customWidth="1"/>
    <col min="8190" max="8193" width="1" style="38" customWidth="1"/>
    <col min="8194" max="8194" width="16.109375" style="38" customWidth="1"/>
    <col min="8195" max="8198" width="1" style="38" customWidth="1"/>
    <col min="8199" max="8199" width="15.109375" style="38" customWidth="1"/>
    <col min="8200" max="8201" width="1" style="38" customWidth="1"/>
    <col min="8202" max="8256" width="0" style="38" hidden="1" customWidth="1"/>
    <col min="8257" max="8258" width="1" style="38" customWidth="1"/>
    <col min="8259" max="8259" width="17.88671875" style="38" customWidth="1"/>
    <col min="8260" max="8263" width="1" style="38" customWidth="1"/>
    <col min="8264" max="8264" width="15.6640625" style="38" customWidth="1"/>
    <col min="8265" max="8266" width="1" style="38" customWidth="1"/>
    <col min="8267" max="8267" width="0.6640625" style="38" customWidth="1"/>
    <col min="8268" max="8268" width="3.33203125" style="38" customWidth="1"/>
    <col min="8269" max="8269" width="10" style="38"/>
    <col min="8270" max="8270" width="10.44140625" style="38" bestFit="1" customWidth="1"/>
    <col min="8271" max="8378" width="10" style="38"/>
    <col min="8379" max="8379" width="1.88671875" style="38" customWidth="1"/>
    <col min="8380" max="8380" width="1" style="38" customWidth="1"/>
    <col min="8381" max="8381" width="0.88671875" style="38" customWidth="1"/>
    <col min="8382" max="8382" width="58.33203125" style="38" customWidth="1"/>
    <col min="8383" max="8384" width="1" style="38" customWidth="1"/>
    <col min="8385" max="8385" width="16.88671875" style="38" customWidth="1"/>
    <col min="8386" max="8387" width="1" style="38" customWidth="1"/>
    <col min="8388" max="8442" width="0" style="38" hidden="1" customWidth="1"/>
    <col min="8443" max="8444" width="1" style="38" customWidth="1"/>
    <col min="8445" max="8445" width="17.88671875" style="38" customWidth="1"/>
    <col min="8446" max="8449" width="1" style="38" customWidth="1"/>
    <col min="8450" max="8450" width="16.109375" style="38" customWidth="1"/>
    <col min="8451" max="8454" width="1" style="38" customWidth="1"/>
    <col min="8455" max="8455" width="15.109375" style="38" customWidth="1"/>
    <col min="8456" max="8457" width="1" style="38" customWidth="1"/>
    <col min="8458" max="8512" width="0" style="38" hidden="1" customWidth="1"/>
    <col min="8513" max="8514" width="1" style="38" customWidth="1"/>
    <col min="8515" max="8515" width="17.88671875" style="38" customWidth="1"/>
    <col min="8516" max="8519" width="1" style="38" customWidth="1"/>
    <col min="8520" max="8520" width="15.6640625" style="38" customWidth="1"/>
    <col min="8521" max="8522" width="1" style="38" customWidth="1"/>
    <col min="8523" max="8523" width="0.6640625" style="38" customWidth="1"/>
    <col min="8524" max="8524" width="3.33203125" style="38" customWidth="1"/>
    <col min="8525" max="8525" width="10" style="38"/>
    <col min="8526" max="8526" width="10.44140625" style="38" bestFit="1" customWidth="1"/>
    <col min="8527" max="8634" width="10" style="38"/>
    <col min="8635" max="8635" width="1.88671875" style="38" customWidth="1"/>
    <col min="8636" max="8636" width="1" style="38" customWidth="1"/>
    <col min="8637" max="8637" width="0.88671875" style="38" customWidth="1"/>
    <col min="8638" max="8638" width="58.33203125" style="38" customWidth="1"/>
    <col min="8639" max="8640" width="1" style="38" customWidth="1"/>
    <col min="8641" max="8641" width="16.88671875" style="38" customWidth="1"/>
    <col min="8642" max="8643" width="1" style="38" customWidth="1"/>
    <col min="8644" max="8698" width="0" style="38" hidden="1" customWidth="1"/>
    <col min="8699" max="8700" width="1" style="38" customWidth="1"/>
    <col min="8701" max="8701" width="17.88671875" style="38" customWidth="1"/>
    <col min="8702" max="8705" width="1" style="38" customWidth="1"/>
    <col min="8706" max="8706" width="16.109375" style="38" customWidth="1"/>
    <col min="8707" max="8710" width="1" style="38" customWidth="1"/>
    <col min="8711" max="8711" width="15.109375" style="38" customWidth="1"/>
    <col min="8712" max="8713" width="1" style="38" customWidth="1"/>
    <col min="8714" max="8768" width="0" style="38" hidden="1" customWidth="1"/>
    <col min="8769" max="8770" width="1" style="38" customWidth="1"/>
    <col min="8771" max="8771" width="17.88671875" style="38" customWidth="1"/>
    <col min="8772" max="8775" width="1" style="38" customWidth="1"/>
    <col min="8776" max="8776" width="15.6640625" style="38" customWidth="1"/>
    <col min="8777" max="8778" width="1" style="38" customWidth="1"/>
    <col min="8779" max="8779" width="0.6640625" style="38" customWidth="1"/>
    <col min="8780" max="8780" width="3.33203125" style="38" customWidth="1"/>
    <col min="8781" max="8781" width="10" style="38"/>
    <col min="8782" max="8782" width="10.44140625" style="38" bestFit="1" customWidth="1"/>
    <col min="8783" max="8890" width="10" style="38"/>
    <col min="8891" max="8891" width="1.88671875" style="38" customWidth="1"/>
    <col min="8892" max="8892" width="1" style="38" customWidth="1"/>
    <col min="8893" max="8893" width="0.88671875" style="38" customWidth="1"/>
    <col min="8894" max="8894" width="58.33203125" style="38" customWidth="1"/>
    <col min="8895" max="8896" width="1" style="38" customWidth="1"/>
    <col min="8897" max="8897" width="16.88671875" style="38" customWidth="1"/>
    <col min="8898" max="8899" width="1" style="38" customWidth="1"/>
    <col min="8900" max="8954" width="0" style="38" hidden="1" customWidth="1"/>
    <col min="8955" max="8956" width="1" style="38" customWidth="1"/>
    <col min="8957" max="8957" width="17.88671875" style="38" customWidth="1"/>
    <col min="8958" max="8961" width="1" style="38" customWidth="1"/>
    <col min="8962" max="8962" width="16.109375" style="38" customWidth="1"/>
    <col min="8963" max="8966" width="1" style="38" customWidth="1"/>
    <col min="8967" max="8967" width="15.109375" style="38" customWidth="1"/>
    <col min="8968" max="8969" width="1" style="38" customWidth="1"/>
    <col min="8970" max="9024" width="0" style="38" hidden="1" customWidth="1"/>
    <col min="9025" max="9026" width="1" style="38" customWidth="1"/>
    <col min="9027" max="9027" width="17.88671875" style="38" customWidth="1"/>
    <col min="9028" max="9031" width="1" style="38" customWidth="1"/>
    <col min="9032" max="9032" width="15.6640625" style="38" customWidth="1"/>
    <col min="9033" max="9034" width="1" style="38" customWidth="1"/>
    <col min="9035" max="9035" width="0.6640625" style="38" customWidth="1"/>
    <col min="9036" max="9036" width="3.33203125" style="38" customWidth="1"/>
    <col min="9037" max="9037" width="10" style="38"/>
    <col min="9038" max="9038" width="10.44140625" style="38" bestFit="1" customWidth="1"/>
    <col min="9039" max="9146" width="10" style="38"/>
    <col min="9147" max="9147" width="1.88671875" style="38" customWidth="1"/>
    <col min="9148" max="9148" width="1" style="38" customWidth="1"/>
    <col min="9149" max="9149" width="0.88671875" style="38" customWidth="1"/>
    <col min="9150" max="9150" width="58.33203125" style="38" customWidth="1"/>
    <col min="9151" max="9152" width="1" style="38" customWidth="1"/>
    <col min="9153" max="9153" width="16.88671875" style="38" customWidth="1"/>
    <col min="9154" max="9155" width="1" style="38" customWidth="1"/>
    <col min="9156" max="9210" width="0" style="38" hidden="1" customWidth="1"/>
    <col min="9211" max="9212" width="1" style="38" customWidth="1"/>
    <col min="9213" max="9213" width="17.88671875" style="38" customWidth="1"/>
    <col min="9214" max="9217" width="1" style="38" customWidth="1"/>
    <col min="9218" max="9218" width="16.109375" style="38" customWidth="1"/>
    <col min="9219" max="9222" width="1" style="38" customWidth="1"/>
    <col min="9223" max="9223" width="15.109375" style="38" customWidth="1"/>
    <col min="9224" max="9225" width="1" style="38" customWidth="1"/>
    <col min="9226" max="9280" width="0" style="38" hidden="1" customWidth="1"/>
    <col min="9281" max="9282" width="1" style="38" customWidth="1"/>
    <col min="9283" max="9283" width="17.88671875" style="38" customWidth="1"/>
    <col min="9284" max="9287" width="1" style="38" customWidth="1"/>
    <col min="9288" max="9288" width="15.6640625" style="38" customWidth="1"/>
    <col min="9289" max="9290" width="1" style="38" customWidth="1"/>
    <col min="9291" max="9291" width="0.6640625" style="38" customWidth="1"/>
    <col min="9292" max="9292" width="3.33203125" style="38" customWidth="1"/>
    <col min="9293" max="9293" width="10" style="38"/>
    <col min="9294" max="9294" width="10.44140625" style="38" bestFit="1" customWidth="1"/>
    <col min="9295" max="9402" width="10" style="38"/>
    <col min="9403" max="9403" width="1.88671875" style="38" customWidth="1"/>
    <col min="9404" max="9404" width="1" style="38" customWidth="1"/>
    <col min="9405" max="9405" width="0.88671875" style="38" customWidth="1"/>
    <col min="9406" max="9406" width="58.33203125" style="38" customWidth="1"/>
    <col min="9407" max="9408" width="1" style="38" customWidth="1"/>
    <col min="9409" max="9409" width="16.88671875" style="38" customWidth="1"/>
    <col min="9410" max="9411" width="1" style="38" customWidth="1"/>
    <col min="9412" max="9466" width="0" style="38" hidden="1" customWidth="1"/>
    <col min="9467" max="9468" width="1" style="38" customWidth="1"/>
    <col min="9469" max="9469" width="17.88671875" style="38" customWidth="1"/>
    <col min="9470" max="9473" width="1" style="38" customWidth="1"/>
    <col min="9474" max="9474" width="16.109375" style="38" customWidth="1"/>
    <col min="9475" max="9478" width="1" style="38" customWidth="1"/>
    <col min="9479" max="9479" width="15.109375" style="38" customWidth="1"/>
    <col min="9480" max="9481" width="1" style="38" customWidth="1"/>
    <col min="9482" max="9536" width="0" style="38" hidden="1" customWidth="1"/>
    <col min="9537" max="9538" width="1" style="38" customWidth="1"/>
    <col min="9539" max="9539" width="17.88671875" style="38" customWidth="1"/>
    <col min="9540" max="9543" width="1" style="38" customWidth="1"/>
    <col min="9544" max="9544" width="15.6640625" style="38" customWidth="1"/>
    <col min="9545" max="9546" width="1" style="38" customWidth="1"/>
    <col min="9547" max="9547" width="0.6640625" style="38" customWidth="1"/>
    <col min="9548" max="9548" width="3.33203125" style="38" customWidth="1"/>
    <col min="9549" max="9549" width="10" style="38"/>
    <col min="9550" max="9550" width="10.44140625" style="38" bestFit="1" customWidth="1"/>
    <col min="9551" max="9658" width="10" style="38"/>
    <col min="9659" max="9659" width="1.88671875" style="38" customWidth="1"/>
    <col min="9660" max="9660" width="1" style="38" customWidth="1"/>
    <col min="9661" max="9661" width="0.88671875" style="38" customWidth="1"/>
    <col min="9662" max="9662" width="58.33203125" style="38" customWidth="1"/>
    <col min="9663" max="9664" width="1" style="38" customWidth="1"/>
    <col min="9665" max="9665" width="16.88671875" style="38" customWidth="1"/>
    <col min="9666" max="9667" width="1" style="38" customWidth="1"/>
    <col min="9668" max="9722" width="0" style="38" hidden="1" customWidth="1"/>
    <col min="9723" max="9724" width="1" style="38" customWidth="1"/>
    <col min="9725" max="9725" width="17.88671875" style="38" customWidth="1"/>
    <col min="9726" max="9729" width="1" style="38" customWidth="1"/>
    <col min="9730" max="9730" width="16.109375" style="38" customWidth="1"/>
    <col min="9731" max="9734" width="1" style="38" customWidth="1"/>
    <col min="9735" max="9735" width="15.109375" style="38" customWidth="1"/>
    <col min="9736" max="9737" width="1" style="38" customWidth="1"/>
    <col min="9738" max="9792" width="0" style="38" hidden="1" customWidth="1"/>
    <col min="9793" max="9794" width="1" style="38" customWidth="1"/>
    <col min="9795" max="9795" width="17.88671875" style="38" customWidth="1"/>
    <col min="9796" max="9799" width="1" style="38" customWidth="1"/>
    <col min="9800" max="9800" width="15.6640625" style="38" customWidth="1"/>
    <col min="9801" max="9802" width="1" style="38" customWidth="1"/>
    <col min="9803" max="9803" width="0.6640625" style="38" customWidth="1"/>
    <col min="9804" max="9804" width="3.33203125" style="38" customWidth="1"/>
    <col min="9805" max="9805" width="10" style="38"/>
    <col min="9806" max="9806" width="10.44140625" style="38" bestFit="1" customWidth="1"/>
    <col min="9807" max="9914" width="10" style="38"/>
    <col min="9915" max="9915" width="1.88671875" style="38" customWidth="1"/>
    <col min="9916" max="9916" width="1" style="38" customWidth="1"/>
    <col min="9917" max="9917" width="0.88671875" style="38" customWidth="1"/>
    <col min="9918" max="9918" width="58.33203125" style="38" customWidth="1"/>
    <col min="9919" max="9920" width="1" style="38" customWidth="1"/>
    <col min="9921" max="9921" width="16.88671875" style="38" customWidth="1"/>
    <col min="9922" max="9923" width="1" style="38" customWidth="1"/>
    <col min="9924" max="9978" width="0" style="38" hidden="1" customWidth="1"/>
    <col min="9979" max="9980" width="1" style="38" customWidth="1"/>
    <col min="9981" max="9981" width="17.88671875" style="38" customWidth="1"/>
    <col min="9982" max="9985" width="1" style="38" customWidth="1"/>
    <col min="9986" max="9986" width="16.109375" style="38" customWidth="1"/>
    <col min="9987" max="9990" width="1" style="38" customWidth="1"/>
    <col min="9991" max="9991" width="15.109375" style="38" customWidth="1"/>
    <col min="9992" max="9993" width="1" style="38" customWidth="1"/>
    <col min="9994" max="10048" width="0" style="38" hidden="1" customWidth="1"/>
    <col min="10049" max="10050" width="1" style="38" customWidth="1"/>
    <col min="10051" max="10051" width="17.88671875" style="38" customWidth="1"/>
    <col min="10052" max="10055" width="1" style="38" customWidth="1"/>
    <col min="10056" max="10056" width="15.6640625" style="38" customWidth="1"/>
    <col min="10057" max="10058" width="1" style="38" customWidth="1"/>
    <col min="10059" max="10059" width="0.6640625" style="38" customWidth="1"/>
    <col min="10060" max="10060" width="3.33203125" style="38" customWidth="1"/>
    <col min="10061" max="10061" width="10" style="38"/>
    <col min="10062" max="10062" width="10.44140625" style="38" bestFit="1" customWidth="1"/>
    <col min="10063" max="10170" width="10" style="38"/>
    <col min="10171" max="10171" width="1.88671875" style="38" customWidth="1"/>
    <col min="10172" max="10172" width="1" style="38" customWidth="1"/>
    <col min="10173" max="10173" width="0.88671875" style="38" customWidth="1"/>
    <col min="10174" max="10174" width="58.33203125" style="38" customWidth="1"/>
    <col min="10175" max="10176" width="1" style="38" customWidth="1"/>
    <col min="10177" max="10177" width="16.88671875" style="38" customWidth="1"/>
    <col min="10178" max="10179" width="1" style="38" customWidth="1"/>
    <col min="10180" max="10234" width="0" style="38" hidden="1" customWidth="1"/>
    <col min="10235" max="10236" width="1" style="38" customWidth="1"/>
    <col min="10237" max="10237" width="17.88671875" style="38" customWidth="1"/>
    <col min="10238" max="10241" width="1" style="38" customWidth="1"/>
    <col min="10242" max="10242" width="16.109375" style="38" customWidth="1"/>
    <col min="10243" max="10246" width="1" style="38" customWidth="1"/>
    <col min="10247" max="10247" width="15.109375" style="38" customWidth="1"/>
    <col min="10248" max="10249" width="1" style="38" customWidth="1"/>
    <col min="10250" max="10304" width="0" style="38" hidden="1" customWidth="1"/>
    <col min="10305" max="10306" width="1" style="38" customWidth="1"/>
    <col min="10307" max="10307" width="17.88671875" style="38" customWidth="1"/>
    <col min="10308" max="10311" width="1" style="38" customWidth="1"/>
    <col min="10312" max="10312" width="15.6640625" style="38" customWidth="1"/>
    <col min="10313" max="10314" width="1" style="38" customWidth="1"/>
    <col min="10315" max="10315" width="0.6640625" style="38" customWidth="1"/>
    <col min="10316" max="10316" width="3.33203125" style="38" customWidth="1"/>
    <col min="10317" max="10317" width="10" style="38"/>
    <col min="10318" max="10318" width="10.44140625" style="38" bestFit="1" customWidth="1"/>
    <col min="10319" max="10426" width="10" style="38"/>
    <col min="10427" max="10427" width="1.88671875" style="38" customWidth="1"/>
    <col min="10428" max="10428" width="1" style="38" customWidth="1"/>
    <col min="10429" max="10429" width="0.88671875" style="38" customWidth="1"/>
    <col min="10430" max="10430" width="58.33203125" style="38" customWidth="1"/>
    <col min="10431" max="10432" width="1" style="38" customWidth="1"/>
    <col min="10433" max="10433" width="16.88671875" style="38" customWidth="1"/>
    <col min="10434" max="10435" width="1" style="38" customWidth="1"/>
    <col min="10436" max="10490" width="0" style="38" hidden="1" customWidth="1"/>
    <col min="10491" max="10492" width="1" style="38" customWidth="1"/>
    <col min="10493" max="10493" width="17.88671875" style="38" customWidth="1"/>
    <col min="10494" max="10497" width="1" style="38" customWidth="1"/>
    <col min="10498" max="10498" width="16.109375" style="38" customWidth="1"/>
    <col min="10499" max="10502" width="1" style="38" customWidth="1"/>
    <col min="10503" max="10503" width="15.109375" style="38" customWidth="1"/>
    <col min="10504" max="10505" width="1" style="38" customWidth="1"/>
    <col min="10506" max="10560" width="0" style="38" hidden="1" customWidth="1"/>
    <col min="10561" max="10562" width="1" style="38" customWidth="1"/>
    <col min="10563" max="10563" width="17.88671875" style="38" customWidth="1"/>
    <col min="10564" max="10567" width="1" style="38" customWidth="1"/>
    <col min="10568" max="10568" width="15.6640625" style="38" customWidth="1"/>
    <col min="10569" max="10570" width="1" style="38" customWidth="1"/>
    <col min="10571" max="10571" width="0.6640625" style="38" customWidth="1"/>
    <col min="10572" max="10572" width="3.33203125" style="38" customWidth="1"/>
    <col min="10573" max="10573" width="10" style="38"/>
    <col min="10574" max="10574" width="10.44140625" style="38" bestFit="1" customWidth="1"/>
    <col min="10575" max="10682" width="10" style="38"/>
    <col min="10683" max="10683" width="1.88671875" style="38" customWidth="1"/>
    <col min="10684" max="10684" width="1" style="38" customWidth="1"/>
    <col min="10685" max="10685" width="0.88671875" style="38" customWidth="1"/>
    <col min="10686" max="10686" width="58.33203125" style="38" customWidth="1"/>
    <col min="10687" max="10688" width="1" style="38" customWidth="1"/>
    <col min="10689" max="10689" width="16.88671875" style="38" customWidth="1"/>
    <col min="10690" max="10691" width="1" style="38" customWidth="1"/>
    <col min="10692" max="10746" width="0" style="38" hidden="1" customWidth="1"/>
    <col min="10747" max="10748" width="1" style="38" customWidth="1"/>
    <col min="10749" max="10749" width="17.88671875" style="38" customWidth="1"/>
    <col min="10750" max="10753" width="1" style="38" customWidth="1"/>
    <col min="10754" max="10754" width="16.109375" style="38" customWidth="1"/>
    <col min="10755" max="10758" width="1" style="38" customWidth="1"/>
    <col min="10759" max="10759" width="15.109375" style="38" customWidth="1"/>
    <col min="10760" max="10761" width="1" style="38" customWidth="1"/>
    <col min="10762" max="10816" width="0" style="38" hidden="1" customWidth="1"/>
    <col min="10817" max="10818" width="1" style="38" customWidth="1"/>
    <col min="10819" max="10819" width="17.88671875" style="38" customWidth="1"/>
    <col min="10820" max="10823" width="1" style="38" customWidth="1"/>
    <col min="10824" max="10824" width="15.6640625" style="38" customWidth="1"/>
    <col min="10825" max="10826" width="1" style="38" customWidth="1"/>
    <col min="10827" max="10827" width="0.6640625" style="38" customWidth="1"/>
    <col min="10828" max="10828" width="3.33203125" style="38" customWidth="1"/>
    <col min="10829" max="10829" width="10" style="38"/>
    <col min="10830" max="10830" width="10.44140625" style="38" bestFit="1" customWidth="1"/>
    <col min="10831" max="10938" width="10" style="38"/>
    <col min="10939" max="10939" width="1.88671875" style="38" customWidth="1"/>
    <col min="10940" max="10940" width="1" style="38" customWidth="1"/>
    <col min="10941" max="10941" width="0.88671875" style="38" customWidth="1"/>
    <col min="10942" max="10942" width="58.33203125" style="38" customWidth="1"/>
    <col min="10943" max="10944" width="1" style="38" customWidth="1"/>
    <col min="10945" max="10945" width="16.88671875" style="38" customWidth="1"/>
    <col min="10946" max="10947" width="1" style="38" customWidth="1"/>
    <col min="10948" max="11002" width="0" style="38" hidden="1" customWidth="1"/>
    <col min="11003" max="11004" width="1" style="38" customWidth="1"/>
    <col min="11005" max="11005" width="17.88671875" style="38" customWidth="1"/>
    <col min="11006" max="11009" width="1" style="38" customWidth="1"/>
    <col min="11010" max="11010" width="16.109375" style="38" customWidth="1"/>
    <col min="11011" max="11014" width="1" style="38" customWidth="1"/>
    <col min="11015" max="11015" width="15.109375" style="38" customWidth="1"/>
    <col min="11016" max="11017" width="1" style="38" customWidth="1"/>
    <col min="11018" max="11072" width="0" style="38" hidden="1" customWidth="1"/>
    <col min="11073" max="11074" width="1" style="38" customWidth="1"/>
    <col min="11075" max="11075" width="17.88671875" style="38" customWidth="1"/>
    <col min="11076" max="11079" width="1" style="38" customWidth="1"/>
    <col min="11080" max="11080" width="15.6640625" style="38" customWidth="1"/>
    <col min="11081" max="11082" width="1" style="38" customWidth="1"/>
    <col min="11083" max="11083" width="0.6640625" style="38" customWidth="1"/>
    <col min="11084" max="11084" width="3.33203125" style="38" customWidth="1"/>
    <col min="11085" max="11085" width="10" style="38"/>
    <col min="11086" max="11086" width="10.44140625" style="38" bestFit="1" customWidth="1"/>
    <col min="11087" max="11194" width="10" style="38"/>
    <col min="11195" max="11195" width="1.88671875" style="38" customWidth="1"/>
    <col min="11196" max="11196" width="1" style="38" customWidth="1"/>
    <col min="11197" max="11197" width="0.88671875" style="38" customWidth="1"/>
    <col min="11198" max="11198" width="58.33203125" style="38" customWidth="1"/>
    <col min="11199" max="11200" width="1" style="38" customWidth="1"/>
    <col min="11201" max="11201" width="16.88671875" style="38" customWidth="1"/>
    <col min="11202" max="11203" width="1" style="38" customWidth="1"/>
    <col min="11204" max="11258" width="0" style="38" hidden="1" customWidth="1"/>
    <col min="11259" max="11260" width="1" style="38" customWidth="1"/>
    <col min="11261" max="11261" width="17.88671875" style="38" customWidth="1"/>
    <col min="11262" max="11265" width="1" style="38" customWidth="1"/>
    <col min="11266" max="11266" width="16.109375" style="38" customWidth="1"/>
    <col min="11267" max="11270" width="1" style="38" customWidth="1"/>
    <col min="11271" max="11271" width="15.109375" style="38" customWidth="1"/>
    <col min="11272" max="11273" width="1" style="38" customWidth="1"/>
    <col min="11274" max="11328" width="0" style="38" hidden="1" customWidth="1"/>
    <col min="11329" max="11330" width="1" style="38" customWidth="1"/>
    <col min="11331" max="11331" width="17.88671875" style="38" customWidth="1"/>
    <col min="11332" max="11335" width="1" style="38" customWidth="1"/>
    <col min="11336" max="11336" width="15.6640625" style="38" customWidth="1"/>
    <col min="11337" max="11338" width="1" style="38" customWidth="1"/>
    <col min="11339" max="11339" width="0.6640625" style="38" customWidth="1"/>
    <col min="11340" max="11340" width="3.33203125" style="38" customWidth="1"/>
    <col min="11341" max="11341" width="10" style="38"/>
    <col min="11342" max="11342" width="10.44140625" style="38" bestFit="1" customWidth="1"/>
    <col min="11343" max="11450" width="10" style="38"/>
    <col min="11451" max="11451" width="1.88671875" style="38" customWidth="1"/>
    <col min="11452" max="11452" width="1" style="38" customWidth="1"/>
    <col min="11453" max="11453" width="0.88671875" style="38" customWidth="1"/>
    <col min="11454" max="11454" width="58.33203125" style="38" customWidth="1"/>
    <col min="11455" max="11456" width="1" style="38" customWidth="1"/>
    <col min="11457" max="11457" width="16.88671875" style="38" customWidth="1"/>
    <col min="11458" max="11459" width="1" style="38" customWidth="1"/>
    <col min="11460" max="11514" width="0" style="38" hidden="1" customWidth="1"/>
    <col min="11515" max="11516" width="1" style="38" customWidth="1"/>
    <col min="11517" max="11517" width="17.88671875" style="38" customWidth="1"/>
    <col min="11518" max="11521" width="1" style="38" customWidth="1"/>
    <col min="11522" max="11522" width="16.109375" style="38" customWidth="1"/>
    <col min="11523" max="11526" width="1" style="38" customWidth="1"/>
    <col min="11527" max="11527" width="15.109375" style="38" customWidth="1"/>
    <col min="11528" max="11529" width="1" style="38" customWidth="1"/>
    <col min="11530" max="11584" width="0" style="38" hidden="1" customWidth="1"/>
    <col min="11585" max="11586" width="1" style="38" customWidth="1"/>
    <col min="11587" max="11587" width="17.88671875" style="38" customWidth="1"/>
    <col min="11588" max="11591" width="1" style="38" customWidth="1"/>
    <col min="11592" max="11592" width="15.6640625" style="38" customWidth="1"/>
    <col min="11593" max="11594" width="1" style="38" customWidth="1"/>
    <col min="11595" max="11595" width="0.6640625" style="38" customWidth="1"/>
    <col min="11596" max="11596" width="3.33203125" style="38" customWidth="1"/>
    <col min="11597" max="11597" width="10" style="38"/>
    <col min="11598" max="11598" width="10.44140625" style="38" bestFit="1" customWidth="1"/>
    <col min="11599" max="11706" width="10" style="38"/>
    <col min="11707" max="11707" width="1.88671875" style="38" customWidth="1"/>
    <col min="11708" max="11708" width="1" style="38" customWidth="1"/>
    <col min="11709" max="11709" width="0.88671875" style="38" customWidth="1"/>
    <col min="11710" max="11710" width="58.33203125" style="38" customWidth="1"/>
    <col min="11711" max="11712" width="1" style="38" customWidth="1"/>
    <col min="11713" max="11713" width="16.88671875" style="38" customWidth="1"/>
    <col min="11714" max="11715" width="1" style="38" customWidth="1"/>
    <col min="11716" max="11770" width="0" style="38" hidden="1" customWidth="1"/>
    <col min="11771" max="11772" width="1" style="38" customWidth="1"/>
    <col min="11773" max="11773" width="17.88671875" style="38" customWidth="1"/>
    <col min="11774" max="11777" width="1" style="38" customWidth="1"/>
    <col min="11778" max="11778" width="16.109375" style="38" customWidth="1"/>
    <col min="11779" max="11782" width="1" style="38" customWidth="1"/>
    <col min="11783" max="11783" width="15.109375" style="38" customWidth="1"/>
    <col min="11784" max="11785" width="1" style="38" customWidth="1"/>
    <col min="11786" max="11840" width="0" style="38" hidden="1" customWidth="1"/>
    <col min="11841" max="11842" width="1" style="38" customWidth="1"/>
    <col min="11843" max="11843" width="17.88671875" style="38" customWidth="1"/>
    <col min="11844" max="11847" width="1" style="38" customWidth="1"/>
    <col min="11848" max="11848" width="15.6640625" style="38" customWidth="1"/>
    <col min="11849" max="11850" width="1" style="38" customWidth="1"/>
    <col min="11851" max="11851" width="0.6640625" style="38" customWidth="1"/>
    <col min="11852" max="11852" width="3.33203125" style="38" customWidth="1"/>
    <col min="11853" max="11853" width="10" style="38"/>
    <col min="11854" max="11854" width="10.44140625" style="38" bestFit="1" customWidth="1"/>
    <col min="11855" max="11962" width="10" style="38"/>
    <col min="11963" max="11963" width="1.88671875" style="38" customWidth="1"/>
    <col min="11964" max="11964" width="1" style="38" customWidth="1"/>
    <col min="11965" max="11965" width="0.88671875" style="38" customWidth="1"/>
    <col min="11966" max="11966" width="58.33203125" style="38" customWidth="1"/>
    <col min="11967" max="11968" width="1" style="38" customWidth="1"/>
    <col min="11969" max="11969" width="16.88671875" style="38" customWidth="1"/>
    <col min="11970" max="11971" width="1" style="38" customWidth="1"/>
    <col min="11972" max="12026" width="0" style="38" hidden="1" customWidth="1"/>
    <col min="12027" max="12028" width="1" style="38" customWidth="1"/>
    <col min="12029" max="12029" width="17.88671875" style="38" customWidth="1"/>
    <col min="12030" max="12033" width="1" style="38" customWidth="1"/>
    <col min="12034" max="12034" width="16.109375" style="38" customWidth="1"/>
    <col min="12035" max="12038" width="1" style="38" customWidth="1"/>
    <col min="12039" max="12039" width="15.109375" style="38" customWidth="1"/>
    <col min="12040" max="12041" width="1" style="38" customWidth="1"/>
    <col min="12042" max="12096" width="0" style="38" hidden="1" customWidth="1"/>
    <col min="12097" max="12098" width="1" style="38" customWidth="1"/>
    <col min="12099" max="12099" width="17.88671875" style="38" customWidth="1"/>
    <col min="12100" max="12103" width="1" style="38" customWidth="1"/>
    <col min="12104" max="12104" width="15.6640625" style="38" customWidth="1"/>
    <col min="12105" max="12106" width="1" style="38" customWidth="1"/>
    <col min="12107" max="12107" width="0.6640625" style="38" customWidth="1"/>
    <col min="12108" max="12108" width="3.33203125" style="38" customWidth="1"/>
    <col min="12109" max="12109" width="10" style="38"/>
    <col min="12110" max="12110" width="10.44140625" style="38" bestFit="1" customWidth="1"/>
    <col min="12111" max="12218" width="10" style="38"/>
    <col min="12219" max="12219" width="1.88671875" style="38" customWidth="1"/>
    <col min="12220" max="12220" width="1" style="38" customWidth="1"/>
    <col min="12221" max="12221" width="0.88671875" style="38" customWidth="1"/>
    <col min="12222" max="12222" width="58.33203125" style="38" customWidth="1"/>
    <col min="12223" max="12224" width="1" style="38" customWidth="1"/>
    <col min="12225" max="12225" width="16.88671875" style="38" customWidth="1"/>
    <col min="12226" max="12227" width="1" style="38" customWidth="1"/>
    <col min="12228" max="12282" width="0" style="38" hidden="1" customWidth="1"/>
    <col min="12283" max="12284" width="1" style="38" customWidth="1"/>
    <col min="12285" max="12285" width="17.88671875" style="38" customWidth="1"/>
    <col min="12286" max="12289" width="1" style="38" customWidth="1"/>
    <col min="12290" max="12290" width="16.109375" style="38" customWidth="1"/>
    <col min="12291" max="12294" width="1" style="38" customWidth="1"/>
    <col min="12295" max="12295" width="15.109375" style="38" customWidth="1"/>
    <col min="12296" max="12297" width="1" style="38" customWidth="1"/>
    <col min="12298" max="12352" width="0" style="38" hidden="1" customWidth="1"/>
    <col min="12353" max="12354" width="1" style="38" customWidth="1"/>
    <col min="12355" max="12355" width="17.88671875" style="38" customWidth="1"/>
    <col min="12356" max="12359" width="1" style="38" customWidth="1"/>
    <col min="12360" max="12360" width="15.6640625" style="38" customWidth="1"/>
    <col min="12361" max="12362" width="1" style="38" customWidth="1"/>
    <col min="12363" max="12363" width="0.6640625" style="38" customWidth="1"/>
    <col min="12364" max="12364" width="3.33203125" style="38" customWidth="1"/>
    <col min="12365" max="12365" width="10" style="38"/>
    <col min="12366" max="12366" width="10.44140625" style="38" bestFit="1" customWidth="1"/>
    <col min="12367" max="12474" width="10" style="38"/>
    <col min="12475" max="12475" width="1.88671875" style="38" customWidth="1"/>
    <col min="12476" max="12476" width="1" style="38" customWidth="1"/>
    <col min="12477" max="12477" width="0.88671875" style="38" customWidth="1"/>
    <col min="12478" max="12478" width="58.33203125" style="38" customWidth="1"/>
    <col min="12479" max="12480" width="1" style="38" customWidth="1"/>
    <col min="12481" max="12481" width="16.88671875" style="38" customWidth="1"/>
    <col min="12482" max="12483" width="1" style="38" customWidth="1"/>
    <col min="12484" max="12538" width="0" style="38" hidden="1" customWidth="1"/>
    <col min="12539" max="12540" width="1" style="38" customWidth="1"/>
    <col min="12541" max="12541" width="17.88671875" style="38" customWidth="1"/>
    <col min="12542" max="12545" width="1" style="38" customWidth="1"/>
    <col min="12546" max="12546" width="16.109375" style="38" customWidth="1"/>
    <col min="12547" max="12550" width="1" style="38" customWidth="1"/>
    <col min="12551" max="12551" width="15.109375" style="38" customWidth="1"/>
    <col min="12552" max="12553" width="1" style="38" customWidth="1"/>
    <col min="12554" max="12608" width="0" style="38" hidden="1" customWidth="1"/>
    <col min="12609" max="12610" width="1" style="38" customWidth="1"/>
    <col min="12611" max="12611" width="17.88671875" style="38" customWidth="1"/>
    <col min="12612" max="12615" width="1" style="38" customWidth="1"/>
    <col min="12616" max="12616" width="15.6640625" style="38" customWidth="1"/>
    <col min="12617" max="12618" width="1" style="38" customWidth="1"/>
    <col min="12619" max="12619" width="0.6640625" style="38" customWidth="1"/>
    <col min="12620" max="12620" width="3.33203125" style="38" customWidth="1"/>
    <col min="12621" max="12621" width="10" style="38"/>
    <col min="12622" max="12622" width="10.44140625" style="38" bestFit="1" customWidth="1"/>
    <col min="12623" max="12730" width="10" style="38"/>
    <col min="12731" max="12731" width="1.88671875" style="38" customWidth="1"/>
    <col min="12732" max="12732" width="1" style="38" customWidth="1"/>
    <col min="12733" max="12733" width="0.88671875" style="38" customWidth="1"/>
    <col min="12734" max="12734" width="58.33203125" style="38" customWidth="1"/>
    <col min="12735" max="12736" width="1" style="38" customWidth="1"/>
    <col min="12737" max="12737" width="16.88671875" style="38" customWidth="1"/>
    <col min="12738" max="12739" width="1" style="38" customWidth="1"/>
    <col min="12740" max="12794" width="0" style="38" hidden="1" customWidth="1"/>
    <col min="12795" max="12796" width="1" style="38" customWidth="1"/>
    <col min="12797" max="12797" width="17.88671875" style="38" customWidth="1"/>
    <col min="12798" max="12801" width="1" style="38" customWidth="1"/>
    <col min="12802" max="12802" width="16.109375" style="38" customWidth="1"/>
    <col min="12803" max="12806" width="1" style="38" customWidth="1"/>
    <col min="12807" max="12807" width="15.109375" style="38" customWidth="1"/>
    <col min="12808" max="12809" width="1" style="38" customWidth="1"/>
    <col min="12810" max="12864" width="0" style="38" hidden="1" customWidth="1"/>
    <col min="12865" max="12866" width="1" style="38" customWidth="1"/>
    <col min="12867" max="12867" width="17.88671875" style="38" customWidth="1"/>
    <col min="12868" max="12871" width="1" style="38" customWidth="1"/>
    <col min="12872" max="12872" width="15.6640625" style="38" customWidth="1"/>
    <col min="12873" max="12874" width="1" style="38" customWidth="1"/>
    <col min="12875" max="12875" width="0.6640625" style="38" customWidth="1"/>
    <col min="12876" max="12876" width="3.33203125" style="38" customWidth="1"/>
    <col min="12877" max="12877" width="10" style="38"/>
    <col min="12878" max="12878" width="10.44140625" style="38" bestFit="1" customWidth="1"/>
    <col min="12879" max="12986" width="10" style="38"/>
    <col min="12987" max="12987" width="1.88671875" style="38" customWidth="1"/>
    <col min="12988" max="12988" width="1" style="38" customWidth="1"/>
    <col min="12989" max="12989" width="0.88671875" style="38" customWidth="1"/>
    <col min="12990" max="12990" width="58.33203125" style="38" customWidth="1"/>
    <col min="12991" max="12992" width="1" style="38" customWidth="1"/>
    <col min="12993" max="12993" width="16.88671875" style="38" customWidth="1"/>
    <col min="12994" max="12995" width="1" style="38" customWidth="1"/>
    <col min="12996" max="13050" width="0" style="38" hidden="1" customWidth="1"/>
    <col min="13051" max="13052" width="1" style="38" customWidth="1"/>
    <col min="13053" max="13053" width="17.88671875" style="38" customWidth="1"/>
    <col min="13054" max="13057" width="1" style="38" customWidth="1"/>
    <col min="13058" max="13058" width="16.109375" style="38" customWidth="1"/>
    <col min="13059" max="13062" width="1" style="38" customWidth="1"/>
    <col min="13063" max="13063" width="15.109375" style="38" customWidth="1"/>
    <col min="13064" max="13065" width="1" style="38" customWidth="1"/>
    <col min="13066" max="13120" width="0" style="38" hidden="1" customWidth="1"/>
    <col min="13121" max="13122" width="1" style="38" customWidth="1"/>
    <col min="13123" max="13123" width="17.88671875" style="38" customWidth="1"/>
    <col min="13124" max="13127" width="1" style="38" customWidth="1"/>
    <col min="13128" max="13128" width="15.6640625" style="38" customWidth="1"/>
    <col min="13129" max="13130" width="1" style="38" customWidth="1"/>
    <col min="13131" max="13131" width="0.6640625" style="38" customWidth="1"/>
    <col min="13132" max="13132" width="3.33203125" style="38" customWidth="1"/>
    <col min="13133" max="13133" width="10" style="38"/>
    <col min="13134" max="13134" width="10.44140625" style="38" bestFit="1" customWidth="1"/>
    <col min="13135" max="13242" width="10" style="38"/>
    <col min="13243" max="13243" width="1.88671875" style="38" customWidth="1"/>
    <col min="13244" max="13244" width="1" style="38" customWidth="1"/>
    <col min="13245" max="13245" width="0.88671875" style="38" customWidth="1"/>
    <col min="13246" max="13246" width="58.33203125" style="38" customWidth="1"/>
    <col min="13247" max="13248" width="1" style="38" customWidth="1"/>
    <col min="13249" max="13249" width="16.88671875" style="38" customWidth="1"/>
    <col min="13250" max="13251" width="1" style="38" customWidth="1"/>
    <col min="13252" max="13306" width="0" style="38" hidden="1" customWidth="1"/>
    <col min="13307" max="13308" width="1" style="38" customWidth="1"/>
    <col min="13309" max="13309" width="17.88671875" style="38" customWidth="1"/>
    <col min="13310" max="13313" width="1" style="38" customWidth="1"/>
    <col min="13314" max="13314" width="16.109375" style="38" customWidth="1"/>
    <col min="13315" max="13318" width="1" style="38" customWidth="1"/>
    <col min="13319" max="13319" width="15.109375" style="38" customWidth="1"/>
    <col min="13320" max="13321" width="1" style="38" customWidth="1"/>
    <col min="13322" max="13376" width="0" style="38" hidden="1" customWidth="1"/>
    <col min="13377" max="13378" width="1" style="38" customWidth="1"/>
    <col min="13379" max="13379" width="17.88671875" style="38" customWidth="1"/>
    <col min="13380" max="13383" width="1" style="38" customWidth="1"/>
    <col min="13384" max="13384" width="15.6640625" style="38" customWidth="1"/>
    <col min="13385" max="13386" width="1" style="38" customWidth="1"/>
    <col min="13387" max="13387" width="0.6640625" style="38" customWidth="1"/>
    <col min="13388" max="13388" width="3.33203125" style="38" customWidth="1"/>
    <col min="13389" max="13389" width="10" style="38"/>
    <col min="13390" max="13390" width="10.44140625" style="38" bestFit="1" customWidth="1"/>
    <col min="13391" max="13498" width="10" style="38"/>
    <col min="13499" max="13499" width="1.88671875" style="38" customWidth="1"/>
    <col min="13500" max="13500" width="1" style="38" customWidth="1"/>
    <col min="13501" max="13501" width="0.88671875" style="38" customWidth="1"/>
    <col min="13502" max="13502" width="58.33203125" style="38" customWidth="1"/>
    <col min="13503" max="13504" width="1" style="38" customWidth="1"/>
    <col min="13505" max="13505" width="16.88671875" style="38" customWidth="1"/>
    <col min="13506" max="13507" width="1" style="38" customWidth="1"/>
    <col min="13508" max="13562" width="0" style="38" hidden="1" customWidth="1"/>
    <col min="13563" max="13564" width="1" style="38" customWidth="1"/>
    <col min="13565" max="13565" width="17.88671875" style="38" customWidth="1"/>
    <col min="13566" max="13569" width="1" style="38" customWidth="1"/>
    <col min="13570" max="13570" width="16.109375" style="38" customWidth="1"/>
    <col min="13571" max="13574" width="1" style="38" customWidth="1"/>
    <col min="13575" max="13575" width="15.109375" style="38" customWidth="1"/>
    <col min="13576" max="13577" width="1" style="38" customWidth="1"/>
    <col min="13578" max="13632" width="0" style="38" hidden="1" customWidth="1"/>
    <col min="13633" max="13634" width="1" style="38" customWidth="1"/>
    <col min="13635" max="13635" width="17.88671875" style="38" customWidth="1"/>
    <col min="13636" max="13639" width="1" style="38" customWidth="1"/>
    <col min="13640" max="13640" width="15.6640625" style="38" customWidth="1"/>
    <col min="13641" max="13642" width="1" style="38" customWidth="1"/>
    <col min="13643" max="13643" width="0.6640625" style="38" customWidth="1"/>
    <col min="13644" max="13644" width="3.33203125" style="38" customWidth="1"/>
    <col min="13645" max="13645" width="10" style="38"/>
    <col min="13646" max="13646" width="10.44140625" style="38" bestFit="1" customWidth="1"/>
    <col min="13647" max="13754" width="10" style="38"/>
    <col min="13755" max="13755" width="1.88671875" style="38" customWidth="1"/>
    <col min="13756" max="13756" width="1" style="38" customWidth="1"/>
    <col min="13757" max="13757" width="0.88671875" style="38" customWidth="1"/>
    <col min="13758" max="13758" width="58.33203125" style="38" customWidth="1"/>
    <col min="13759" max="13760" width="1" style="38" customWidth="1"/>
    <col min="13761" max="13761" width="16.88671875" style="38" customWidth="1"/>
    <col min="13762" max="13763" width="1" style="38" customWidth="1"/>
    <col min="13764" max="13818" width="0" style="38" hidden="1" customWidth="1"/>
    <col min="13819" max="13820" width="1" style="38" customWidth="1"/>
    <col min="13821" max="13821" width="17.88671875" style="38" customWidth="1"/>
    <col min="13822" max="13825" width="1" style="38" customWidth="1"/>
    <col min="13826" max="13826" width="16.109375" style="38" customWidth="1"/>
    <col min="13827" max="13830" width="1" style="38" customWidth="1"/>
    <col min="13831" max="13831" width="15.109375" style="38" customWidth="1"/>
    <col min="13832" max="13833" width="1" style="38" customWidth="1"/>
    <col min="13834" max="13888" width="0" style="38" hidden="1" customWidth="1"/>
    <col min="13889" max="13890" width="1" style="38" customWidth="1"/>
    <col min="13891" max="13891" width="17.88671875" style="38" customWidth="1"/>
    <col min="13892" max="13895" width="1" style="38" customWidth="1"/>
    <col min="13896" max="13896" width="15.6640625" style="38" customWidth="1"/>
    <col min="13897" max="13898" width="1" style="38" customWidth="1"/>
    <col min="13899" max="13899" width="0.6640625" style="38" customWidth="1"/>
    <col min="13900" max="13900" width="3.33203125" style="38" customWidth="1"/>
    <col min="13901" max="13901" width="10" style="38"/>
    <col min="13902" max="13902" width="10.44140625" style="38" bestFit="1" customWidth="1"/>
    <col min="13903" max="14010" width="10" style="38"/>
    <col min="14011" max="14011" width="1.88671875" style="38" customWidth="1"/>
    <col min="14012" max="14012" width="1" style="38" customWidth="1"/>
    <col min="14013" max="14013" width="0.88671875" style="38" customWidth="1"/>
    <col min="14014" max="14014" width="58.33203125" style="38" customWidth="1"/>
    <col min="14015" max="14016" width="1" style="38" customWidth="1"/>
    <col min="14017" max="14017" width="16.88671875" style="38" customWidth="1"/>
    <col min="14018" max="14019" width="1" style="38" customWidth="1"/>
    <col min="14020" max="14074" width="0" style="38" hidden="1" customWidth="1"/>
    <col min="14075" max="14076" width="1" style="38" customWidth="1"/>
    <col min="14077" max="14077" width="17.88671875" style="38" customWidth="1"/>
    <col min="14078" max="14081" width="1" style="38" customWidth="1"/>
    <col min="14082" max="14082" width="16.109375" style="38" customWidth="1"/>
    <col min="14083" max="14086" width="1" style="38" customWidth="1"/>
    <col min="14087" max="14087" width="15.109375" style="38" customWidth="1"/>
    <col min="14088" max="14089" width="1" style="38" customWidth="1"/>
    <col min="14090" max="14144" width="0" style="38" hidden="1" customWidth="1"/>
    <col min="14145" max="14146" width="1" style="38" customWidth="1"/>
    <col min="14147" max="14147" width="17.88671875" style="38" customWidth="1"/>
    <col min="14148" max="14151" width="1" style="38" customWidth="1"/>
    <col min="14152" max="14152" width="15.6640625" style="38" customWidth="1"/>
    <col min="14153" max="14154" width="1" style="38" customWidth="1"/>
    <col min="14155" max="14155" width="0.6640625" style="38" customWidth="1"/>
    <col min="14156" max="14156" width="3.33203125" style="38" customWidth="1"/>
    <col min="14157" max="14157" width="10" style="38"/>
    <col min="14158" max="14158" width="10.44140625" style="38" bestFit="1" customWidth="1"/>
    <col min="14159" max="14266" width="10" style="38"/>
    <col min="14267" max="14267" width="1.88671875" style="38" customWidth="1"/>
    <col min="14268" max="14268" width="1" style="38" customWidth="1"/>
    <col min="14269" max="14269" width="0.88671875" style="38" customWidth="1"/>
    <col min="14270" max="14270" width="58.33203125" style="38" customWidth="1"/>
    <col min="14271" max="14272" width="1" style="38" customWidth="1"/>
    <col min="14273" max="14273" width="16.88671875" style="38" customWidth="1"/>
    <col min="14274" max="14275" width="1" style="38" customWidth="1"/>
    <col min="14276" max="14330" width="0" style="38" hidden="1" customWidth="1"/>
    <col min="14331" max="14332" width="1" style="38" customWidth="1"/>
    <col min="14333" max="14333" width="17.88671875" style="38" customWidth="1"/>
    <col min="14334" max="14337" width="1" style="38" customWidth="1"/>
    <col min="14338" max="14338" width="16.109375" style="38" customWidth="1"/>
    <col min="14339" max="14342" width="1" style="38" customWidth="1"/>
    <col min="14343" max="14343" width="15.109375" style="38" customWidth="1"/>
    <col min="14344" max="14345" width="1" style="38" customWidth="1"/>
    <col min="14346" max="14400" width="0" style="38" hidden="1" customWidth="1"/>
    <col min="14401" max="14402" width="1" style="38" customWidth="1"/>
    <col min="14403" max="14403" width="17.88671875" style="38" customWidth="1"/>
    <col min="14404" max="14407" width="1" style="38" customWidth="1"/>
    <col min="14408" max="14408" width="15.6640625" style="38" customWidth="1"/>
    <col min="14409" max="14410" width="1" style="38" customWidth="1"/>
    <col min="14411" max="14411" width="0.6640625" style="38" customWidth="1"/>
    <col min="14412" max="14412" width="3.33203125" style="38" customWidth="1"/>
    <col min="14413" max="14413" width="10" style="38"/>
    <col min="14414" max="14414" width="10.44140625" style="38" bestFit="1" customWidth="1"/>
    <col min="14415" max="14522" width="10" style="38"/>
    <col min="14523" max="14523" width="1.88671875" style="38" customWidth="1"/>
    <col min="14524" max="14524" width="1" style="38" customWidth="1"/>
    <col min="14525" max="14525" width="0.88671875" style="38" customWidth="1"/>
    <col min="14526" max="14526" width="58.33203125" style="38" customWidth="1"/>
    <col min="14527" max="14528" width="1" style="38" customWidth="1"/>
    <col min="14529" max="14529" width="16.88671875" style="38" customWidth="1"/>
    <col min="14530" max="14531" width="1" style="38" customWidth="1"/>
    <col min="14532" max="14586" width="0" style="38" hidden="1" customWidth="1"/>
    <col min="14587" max="14588" width="1" style="38" customWidth="1"/>
    <col min="14589" max="14589" width="17.88671875" style="38" customWidth="1"/>
    <col min="14590" max="14593" width="1" style="38" customWidth="1"/>
    <col min="14594" max="14594" width="16.109375" style="38" customWidth="1"/>
    <col min="14595" max="14598" width="1" style="38" customWidth="1"/>
    <col min="14599" max="14599" width="15.109375" style="38" customWidth="1"/>
    <col min="14600" max="14601" width="1" style="38" customWidth="1"/>
    <col min="14602" max="14656" width="0" style="38" hidden="1" customWidth="1"/>
    <col min="14657" max="14658" width="1" style="38" customWidth="1"/>
    <col min="14659" max="14659" width="17.88671875" style="38" customWidth="1"/>
    <col min="14660" max="14663" width="1" style="38" customWidth="1"/>
    <col min="14664" max="14664" width="15.6640625" style="38" customWidth="1"/>
    <col min="14665" max="14666" width="1" style="38" customWidth="1"/>
    <col min="14667" max="14667" width="0.6640625" style="38" customWidth="1"/>
    <col min="14668" max="14668" width="3.33203125" style="38" customWidth="1"/>
    <col min="14669" max="14669" width="10" style="38"/>
    <col min="14670" max="14670" width="10.44140625" style="38" bestFit="1" customWidth="1"/>
    <col min="14671" max="14778" width="10" style="38"/>
    <col min="14779" max="14779" width="1.88671875" style="38" customWidth="1"/>
    <col min="14780" max="14780" width="1" style="38" customWidth="1"/>
    <col min="14781" max="14781" width="0.88671875" style="38" customWidth="1"/>
    <col min="14782" max="14782" width="58.33203125" style="38" customWidth="1"/>
    <col min="14783" max="14784" width="1" style="38" customWidth="1"/>
    <col min="14785" max="14785" width="16.88671875" style="38" customWidth="1"/>
    <col min="14786" max="14787" width="1" style="38" customWidth="1"/>
    <col min="14788" max="14842" width="0" style="38" hidden="1" customWidth="1"/>
    <col min="14843" max="14844" width="1" style="38" customWidth="1"/>
    <col min="14845" max="14845" width="17.88671875" style="38" customWidth="1"/>
    <col min="14846" max="14849" width="1" style="38" customWidth="1"/>
    <col min="14850" max="14850" width="16.109375" style="38" customWidth="1"/>
    <col min="14851" max="14854" width="1" style="38" customWidth="1"/>
    <col min="14855" max="14855" width="15.109375" style="38" customWidth="1"/>
    <col min="14856" max="14857" width="1" style="38" customWidth="1"/>
    <col min="14858" max="14912" width="0" style="38" hidden="1" customWidth="1"/>
    <col min="14913" max="14914" width="1" style="38" customWidth="1"/>
    <col min="14915" max="14915" width="17.88671875" style="38" customWidth="1"/>
    <col min="14916" max="14919" width="1" style="38" customWidth="1"/>
    <col min="14920" max="14920" width="15.6640625" style="38" customWidth="1"/>
    <col min="14921" max="14922" width="1" style="38" customWidth="1"/>
    <col min="14923" max="14923" width="0.6640625" style="38" customWidth="1"/>
    <col min="14924" max="14924" width="3.33203125" style="38" customWidth="1"/>
    <col min="14925" max="14925" width="10" style="38"/>
    <col min="14926" max="14926" width="10.44140625" style="38" bestFit="1" customWidth="1"/>
    <col min="14927" max="15034" width="10" style="38"/>
    <col min="15035" max="15035" width="1.88671875" style="38" customWidth="1"/>
    <col min="15036" max="15036" width="1" style="38" customWidth="1"/>
    <col min="15037" max="15037" width="0.88671875" style="38" customWidth="1"/>
    <col min="15038" max="15038" width="58.33203125" style="38" customWidth="1"/>
    <col min="15039" max="15040" width="1" style="38" customWidth="1"/>
    <col min="15041" max="15041" width="16.88671875" style="38" customWidth="1"/>
    <col min="15042" max="15043" width="1" style="38" customWidth="1"/>
    <col min="15044" max="15098" width="0" style="38" hidden="1" customWidth="1"/>
    <col min="15099" max="15100" width="1" style="38" customWidth="1"/>
    <col min="15101" max="15101" width="17.88671875" style="38" customWidth="1"/>
    <col min="15102" max="15105" width="1" style="38" customWidth="1"/>
    <col min="15106" max="15106" width="16.109375" style="38" customWidth="1"/>
    <col min="15107" max="15110" width="1" style="38" customWidth="1"/>
    <col min="15111" max="15111" width="15.109375" style="38" customWidth="1"/>
    <col min="15112" max="15113" width="1" style="38" customWidth="1"/>
    <col min="15114" max="15168" width="0" style="38" hidden="1" customWidth="1"/>
    <col min="15169" max="15170" width="1" style="38" customWidth="1"/>
    <col min="15171" max="15171" width="17.88671875" style="38" customWidth="1"/>
    <col min="15172" max="15175" width="1" style="38" customWidth="1"/>
    <col min="15176" max="15176" width="15.6640625" style="38" customWidth="1"/>
    <col min="15177" max="15178" width="1" style="38" customWidth="1"/>
    <col min="15179" max="15179" width="0.6640625" style="38" customWidth="1"/>
    <col min="15180" max="15180" width="3.33203125" style="38" customWidth="1"/>
    <col min="15181" max="15181" width="10" style="38"/>
    <col min="15182" max="15182" width="10.44140625" style="38" bestFit="1" customWidth="1"/>
    <col min="15183" max="15290" width="10" style="38"/>
    <col min="15291" max="15291" width="1.88671875" style="38" customWidth="1"/>
    <col min="15292" max="15292" width="1" style="38" customWidth="1"/>
    <col min="15293" max="15293" width="0.88671875" style="38" customWidth="1"/>
    <col min="15294" max="15294" width="58.33203125" style="38" customWidth="1"/>
    <col min="15295" max="15296" width="1" style="38" customWidth="1"/>
    <col min="15297" max="15297" width="16.88671875" style="38" customWidth="1"/>
    <col min="15298" max="15299" width="1" style="38" customWidth="1"/>
    <col min="15300" max="15354" width="0" style="38" hidden="1" customWidth="1"/>
    <col min="15355" max="15356" width="1" style="38" customWidth="1"/>
    <col min="15357" max="15357" width="17.88671875" style="38" customWidth="1"/>
    <col min="15358" max="15361" width="1" style="38" customWidth="1"/>
    <col min="15362" max="15362" width="16.109375" style="38" customWidth="1"/>
    <col min="15363" max="15366" width="1" style="38" customWidth="1"/>
    <col min="15367" max="15367" width="15.109375" style="38" customWidth="1"/>
    <col min="15368" max="15369" width="1" style="38" customWidth="1"/>
    <col min="15370" max="15424" width="0" style="38" hidden="1" customWidth="1"/>
    <col min="15425" max="15426" width="1" style="38" customWidth="1"/>
    <col min="15427" max="15427" width="17.88671875" style="38" customWidth="1"/>
    <col min="15428" max="15431" width="1" style="38" customWidth="1"/>
    <col min="15432" max="15432" width="15.6640625" style="38" customWidth="1"/>
    <col min="15433" max="15434" width="1" style="38" customWidth="1"/>
    <col min="15435" max="15435" width="0.6640625" style="38" customWidth="1"/>
    <col min="15436" max="15436" width="3.33203125" style="38" customWidth="1"/>
    <col min="15437" max="15437" width="10" style="38"/>
    <col min="15438" max="15438" width="10.44140625" style="38" bestFit="1" customWidth="1"/>
    <col min="15439" max="15546" width="10" style="38"/>
    <col min="15547" max="15547" width="1.88671875" style="38" customWidth="1"/>
    <col min="15548" max="15548" width="1" style="38" customWidth="1"/>
    <col min="15549" max="15549" width="0.88671875" style="38" customWidth="1"/>
    <col min="15550" max="15550" width="58.33203125" style="38" customWidth="1"/>
    <col min="15551" max="15552" width="1" style="38" customWidth="1"/>
    <col min="15553" max="15553" width="16.88671875" style="38" customWidth="1"/>
    <col min="15554" max="15555" width="1" style="38" customWidth="1"/>
    <col min="15556" max="15610" width="0" style="38" hidden="1" customWidth="1"/>
    <col min="15611" max="15612" width="1" style="38" customWidth="1"/>
    <col min="15613" max="15613" width="17.88671875" style="38" customWidth="1"/>
    <col min="15614" max="15617" width="1" style="38" customWidth="1"/>
    <col min="15618" max="15618" width="16.109375" style="38" customWidth="1"/>
    <col min="15619" max="15622" width="1" style="38" customWidth="1"/>
    <col min="15623" max="15623" width="15.109375" style="38" customWidth="1"/>
    <col min="15624" max="15625" width="1" style="38" customWidth="1"/>
    <col min="15626" max="15680" width="0" style="38" hidden="1" customWidth="1"/>
    <col min="15681" max="15682" width="1" style="38" customWidth="1"/>
    <col min="15683" max="15683" width="17.88671875" style="38" customWidth="1"/>
    <col min="15684" max="15687" width="1" style="38" customWidth="1"/>
    <col min="15688" max="15688" width="15.6640625" style="38" customWidth="1"/>
    <col min="15689" max="15690" width="1" style="38" customWidth="1"/>
    <col min="15691" max="15691" width="0.6640625" style="38" customWidth="1"/>
    <col min="15692" max="15692" width="3.33203125" style="38" customWidth="1"/>
    <col min="15693" max="15693" width="10" style="38"/>
    <col min="15694" max="15694" width="10.44140625" style="38" bestFit="1" customWidth="1"/>
    <col min="15695" max="15802" width="10" style="38"/>
    <col min="15803" max="15803" width="1.88671875" style="38" customWidth="1"/>
    <col min="15804" max="15804" width="1" style="38" customWidth="1"/>
    <col min="15805" max="15805" width="0.88671875" style="38" customWidth="1"/>
    <col min="15806" max="15806" width="58.33203125" style="38" customWidth="1"/>
    <col min="15807" max="15808" width="1" style="38" customWidth="1"/>
    <col min="15809" max="15809" width="16.88671875" style="38" customWidth="1"/>
    <col min="15810" max="15811" width="1" style="38" customWidth="1"/>
    <col min="15812" max="15866" width="0" style="38" hidden="1" customWidth="1"/>
    <col min="15867" max="15868" width="1" style="38" customWidth="1"/>
    <col min="15869" max="15869" width="17.88671875" style="38" customWidth="1"/>
    <col min="15870" max="15873" width="1" style="38" customWidth="1"/>
    <col min="15874" max="15874" width="16.109375" style="38" customWidth="1"/>
    <col min="15875" max="15878" width="1" style="38" customWidth="1"/>
    <col min="15879" max="15879" width="15.109375" style="38" customWidth="1"/>
    <col min="15880" max="15881" width="1" style="38" customWidth="1"/>
    <col min="15882" max="15936" width="0" style="38" hidden="1" customWidth="1"/>
    <col min="15937" max="15938" width="1" style="38" customWidth="1"/>
    <col min="15939" max="15939" width="17.88671875" style="38" customWidth="1"/>
    <col min="15940" max="15943" width="1" style="38" customWidth="1"/>
    <col min="15944" max="15944" width="15.6640625" style="38" customWidth="1"/>
    <col min="15945" max="15946" width="1" style="38" customWidth="1"/>
    <col min="15947" max="15947" width="0.6640625" style="38" customWidth="1"/>
    <col min="15948" max="15948" width="3.33203125" style="38" customWidth="1"/>
    <col min="15949" max="15949" width="10" style="38"/>
    <col min="15950" max="15950" width="10.44140625" style="38" bestFit="1" customWidth="1"/>
    <col min="15951" max="16058" width="10" style="38"/>
    <col min="16059" max="16059" width="1.88671875" style="38" customWidth="1"/>
    <col min="16060" max="16060" width="1" style="38" customWidth="1"/>
    <col min="16061" max="16061" width="0.88671875" style="38" customWidth="1"/>
    <col min="16062" max="16062" width="58.33203125" style="38" customWidth="1"/>
    <col min="16063" max="16064" width="1" style="38" customWidth="1"/>
    <col min="16065" max="16065" width="16.88671875" style="38" customWidth="1"/>
    <col min="16066" max="16067" width="1" style="38" customWidth="1"/>
    <col min="16068" max="16122" width="0" style="38" hidden="1" customWidth="1"/>
    <col min="16123" max="16124" width="1" style="38" customWidth="1"/>
    <col min="16125" max="16125" width="17.88671875" style="38" customWidth="1"/>
    <col min="16126" max="16129" width="1" style="38" customWidth="1"/>
    <col min="16130" max="16130" width="16.109375" style="38" customWidth="1"/>
    <col min="16131" max="16134" width="1" style="38" customWidth="1"/>
    <col min="16135" max="16135" width="15.109375" style="38" customWidth="1"/>
    <col min="16136" max="16137" width="1" style="38" customWidth="1"/>
    <col min="16138" max="16192" width="0" style="38" hidden="1" customWidth="1"/>
    <col min="16193" max="16194" width="1" style="38" customWidth="1"/>
    <col min="16195" max="16195" width="17.88671875" style="38" customWidth="1"/>
    <col min="16196" max="16199" width="1" style="38" customWidth="1"/>
    <col min="16200" max="16200" width="15.6640625" style="38" customWidth="1"/>
    <col min="16201" max="16202" width="1" style="38" customWidth="1"/>
    <col min="16203" max="16203" width="0.6640625" style="38" customWidth="1"/>
    <col min="16204" max="16204" width="3.33203125" style="38" customWidth="1"/>
    <col min="16205" max="16205" width="10" style="38"/>
    <col min="16206" max="16206" width="10.44140625" style="38" bestFit="1" customWidth="1"/>
    <col min="16207" max="16384" width="10" style="38"/>
  </cols>
  <sheetData>
    <row r="1" spans="1:75" ht="12.75" x14ac:dyDescent="0.2">
      <c r="B1" s="388"/>
      <c r="C1" s="388"/>
      <c r="D1" s="388"/>
      <c r="E1" s="388"/>
      <c r="F1" s="388"/>
      <c r="G1" s="388"/>
      <c r="H1" s="388"/>
      <c r="I1" s="388"/>
      <c r="J1" s="388"/>
      <c r="K1" s="388"/>
      <c r="L1" s="388"/>
      <c r="M1" s="388">
        <f>1770000000+11234076861+1105000000</f>
        <v>14109076861</v>
      </c>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row>
    <row r="2" spans="1:75" ht="6" customHeight="1"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row>
    <row r="3" spans="1:75" ht="12.75" x14ac:dyDescent="0.2">
      <c r="A3" s="388"/>
      <c r="B3" s="388"/>
      <c r="BW3" s="388"/>
    </row>
    <row r="4" spans="1:75" ht="12.75" x14ac:dyDescent="0.2">
      <c r="A4" s="388"/>
      <c r="B4" s="388"/>
      <c r="D4" s="411"/>
      <c r="E4" s="411"/>
      <c r="F4" s="411"/>
      <c r="BW4" s="388"/>
    </row>
    <row r="5" spans="1:75" ht="12.75" x14ac:dyDescent="0.2">
      <c r="A5" s="388"/>
      <c r="B5" s="388"/>
      <c r="BW5" s="388"/>
    </row>
    <row r="6" spans="1:75" ht="12.75" x14ac:dyDescent="0.2">
      <c r="A6" s="388"/>
      <c r="B6" s="388"/>
      <c r="BW6" s="388"/>
    </row>
    <row r="7" spans="1:75" ht="15.75" x14ac:dyDescent="0.25">
      <c r="A7" s="388"/>
      <c r="B7" s="388"/>
      <c r="C7" s="388"/>
      <c r="D7" s="462" t="s">
        <v>469</v>
      </c>
      <c r="E7" s="462"/>
      <c r="F7" s="462"/>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88"/>
    </row>
    <row r="8" spans="1:75" ht="12.75" x14ac:dyDescent="0.2">
      <c r="A8" s="388"/>
      <c r="B8" s="388"/>
      <c r="C8" s="499"/>
      <c r="D8" s="405"/>
      <c r="E8" s="463"/>
      <c r="F8" s="464"/>
      <c r="G8" s="691" t="str">
        <f>[39]summary!H8</f>
        <v>2020/21</v>
      </c>
      <c r="H8" s="691"/>
      <c r="I8" s="691"/>
      <c r="J8" s="691"/>
      <c r="K8" s="69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c r="BL8" s="721"/>
      <c r="BM8" s="721"/>
      <c r="BN8" s="721"/>
      <c r="BO8" s="721"/>
      <c r="BP8" s="721"/>
      <c r="BQ8" s="721"/>
      <c r="BR8" s="721"/>
      <c r="BS8" s="721"/>
      <c r="BT8" s="721"/>
      <c r="BU8" s="400"/>
      <c r="BV8" s="400"/>
      <c r="BW8" s="398"/>
    </row>
    <row r="9" spans="1:75" ht="18" customHeight="1" x14ac:dyDescent="0.2">
      <c r="A9" s="388"/>
      <c r="B9" s="388"/>
      <c r="D9" s="398"/>
      <c r="E9" s="404"/>
      <c r="F9" s="388"/>
      <c r="G9" s="119" t="str">
        <f>[39]domredemp!G9</f>
        <v>Revised</v>
      </c>
      <c r="H9" s="119"/>
      <c r="I9" s="119"/>
      <c r="J9" s="134"/>
      <c r="K9" s="119"/>
      <c r="L9" s="119" t="s">
        <v>5</v>
      </c>
      <c r="M9" s="119"/>
      <c r="N9" s="119"/>
      <c r="O9" s="134"/>
      <c r="P9" s="119"/>
      <c r="Q9" s="119" t="s">
        <v>6</v>
      </c>
      <c r="R9" s="119"/>
      <c r="S9" s="119"/>
      <c r="T9" s="134"/>
      <c r="U9" s="119"/>
      <c r="V9" s="119" t="s">
        <v>7</v>
      </c>
      <c r="W9" s="119"/>
      <c r="X9" s="119"/>
      <c r="Y9" s="134"/>
      <c r="Z9" s="119"/>
      <c r="AA9" s="119" t="s">
        <v>8</v>
      </c>
      <c r="AB9" s="119"/>
      <c r="AC9" s="119"/>
      <c r="AD9" s="134"/>
      <c r="AE9" s="119"/>
      <c r="AF9" s="119" t="s">
        <v>9</v>
      </c>
      <c r="AG9" s="119"/>
      <c r="AH9" s="119"/>
      <c r="AI9" s="134"/>
      <c r="AJ9" s="119"/>
      <c r="AK9" s="119" t="s">
        <v>10</v>
      </c>
      <c r="AL9" s="119"/>
      <c r="AM9" s="119"/>
      <c r="AN9" s="134"/>
      <c r="AO9" s="119"/>
      <c r="AP9" s="119" t="s">
        <v>11</v>
      </c>
      <c r="AQ9" s="119"/>
      <c r="AR9" s="119"/>
      <c r="AS9" s="134"/>
      <c r="AT9" s="119"/>
      <c r="AU9" s="119" t="s">
        <v>12</v>
      </c>
      <c r="AV9" s="119"/>
      <c r="AW9" s="119"/>
      <c r="AX9" s="134"/>
      <c r="AY9" s="119"/>
      <c r="AZ9" s="119" t="s">
        <v>13</v>
      </c>
      <c r="BA9" s="119"/>
      <c r="BB9" s="119"/>
      <c r="BC9" s="134"/>
      <c r="BD9" s="119"/>
      <c r="BE9" s="119" t="s">
        <v>14</v>
      </c>
      <c r="BF9" s="119"/>
      <c r="BG9" s="119"/>
      <c r="BH9" s="134"/>
      <c r="BI9" s="119"/>
      <c r="BJ9" s="119" t="s">
        <v>15</v>
      </c>
      <c r="BK9" s="119"/>
      <c r="BL9" s="119"/>
      <c r="BM9" s="134"/>
      <c r="BN9" s="119"/>
      <c r="BO9" s="119" t="s">
        <v>16</v>
      </c>
      <c r="BP9" s="119"/>
      <c r="BQ9" s="119"/>
      <c r="BR9" s="134"/>
      <c r="BS9" s="119"/>
      <c r="BT9" s="119" t="s">
        <v>17</v>
      </c>
      <c r="BU9" s="119"/>
      <c r="BV9" s="119"/>
      <c r="BW9" s="398"/>
    </row>
    <row r="10" spans="1:75" ht="12.75" x14ac:dyDescent="0.2">
      <c r="A10" s="388"/>
      <c r="B10" s="388"/>
      <c r="D10" s="399" t="s">
        <v>18</v>
      </c>
      <c r="E10" s="467"/>
      <c r="F10" s="468"/>
      <c r="G10" s="402" t="s">
        <v>20</v>
      </c>
      <c r="H10" s="402"/>
      <c r="I10" s="402"/>
      <c r="J10" s="401"/>
      <c r="K10" s="402"/>
      <c r="L10" s="400"/>
      <c r="M10" s="400"/>
      <c r="N10" s="400"/>
      <c r="O10" s="469"/>
      <c r="P10" s="400"/>
      <c r="Q10" s="400"/>
      <c r="R10" s="400"/>
      <c r="S10" s="400"/>
      <c r="T10" s="469"/>
      <c r="U10" s="400"/>
      <c r="V10" s="400"/>
      <c r="W10" s="400"/>
      <c r="X10" s="400"/>
      <c r="Y10" s="469"/>
      <c r="Z10" s="400"/>
      <c r="AA10" s="400"/>
      <c r="AB10" s="400"/>
      <c r="AC10" s="400"/>
      <c r="AD10" s="469"/>
      <c r="AE10" s="400"/>
      <c r="AF10" s="400"/>
      <c r="AG10" s="400"/>
      <c r="AH10" s="400"/>
      <c r="AI10" s="469"/>
      <c r="AJ10" s="400"/>
      <c r="AK10" s="400"/>
      <c r="AL10" s="400"/>
      <c r="AM10" s="400"/>
      <c r="AN10" s="469"/>
      <c r="AO10" s="400"/>
      <c r="AP10" s="400"/>
      <c r="AQ10" s="400"/>
      <c r="AR10" s="400"/>
      <c r="AS10" s="469"/>
      <c r="AT10" s="400"/>
      <c r="AU10" s="400"/>
      <c r="AV10" s="400"/>
      <c r="AW10" s="400"/>
      <c r="AX10" s="469"/>
      <c r="AY10" s="400"/>
      <c r="AZ10" s="400"/>
      <c r="BA10" s="400"/>
      <c r="BB10" s="400"/>
      <c r="BC10" s="469"/>
      <c r="BD10" s="400"/>
      <c r="BE10" s="400"/>
      <c r="BF10" s="400"/>
      <c r="BG10" s="400"/>
      <c r="BH10" s="469"/>
      <c r="BI10" s="400"/>
      <c r="BJ10" s="400"/>
      <c r="BK10" s="400"/>
      <c r="BL10" s="400"/>
      <c r="BM10" s="469"/>
      <c r="BN10" s="400"/>
      <c r="BO10" s="400"/>
      <c r="BP10" s="400"/>
      <c r="BQ10" s="400"/>
      <c r="BR10" s="469"/>
      <c r="BS10" s="400"/>
      <c r="BT10" s="400"/>
      <c r="BU10" s="400"/>
      <c r="BV10" s="400"/>
      <c r="BW10" s="398"/>
    </row>
    <row r="11" spans="1:75" ht="12.75" x14ac:dyDescent="0.2">
      <c r="A11" s="388"/>
      <c r="B11" s="388"/>
      <c r="D11" s="398"/>
      <c r="E11" s="404"/>
      <c r="F11" s="388"/>
      <c r="G11" s="388"/>
      <c r="H11" s="388"/>
      <c r="I11" s="388"/>
      <c r="J11" s="404"/>
      <c r="K11" s="388"/>
      <c r="L11" s="388"/>
      <c r="M11" s="388"/>
      <c r="N11" s="388"/>
      <c r="O11" s="404"/>
      <c r="P11" s="388"/>
      <c r="Q11" s="388"/>
      <c r="R11" s="388"/>
      <c r="S11" s="388"/>
      <c r="T11" s="404"/>
      <c r="U11" s="388"/>
      <c r="V11" s="388"/>
      <c r="W11" s="388"/>
      <c r="X11" s="388"/>
      <c r="Y11" s="404"/>
      <c r="Z11" s="388"/>
      <c r="AA11" s="388"/>
      <c r="AB11" s="388"/>
      <c r="AC11" s="388"/>
      <c r="AD11" s="404"/>
      <c r="AE11" s="388"/>
      <c r="AF11" s="388"/>
      <c r="AG11" s="388"/>
      <c r="AH11" s="388"/>
      <c r="AI11" s="404"/>
      <c r="AJ11" s="388"/>
      <c r="AK11" s="388"/>
      <c r="AL11" s="388"/>
      <c r="AM11" s="388"/>
      <c r="AN11" s="404"/>
      <c r="AO11" s="388"/>
      <c r="AP11" s="388"/>
      <c r="AQ11" s="388"/>
      <c r="AR11" s="388"/>
      <c r="AS11" s="404"/>
      <c r="AT11" s="388"/>
      <c r="AU11" s="388"/>
      <c r="AV11" s="388"/>
      <c r="AW11" s="388"/>
      <c r="AX11" s="404"/>
      <c r="AY11" s="388"/>
      <c r="AZ11" s="388"/>
      <c r="BA11" s="388"/>
      <c r="BB11" s="388"/>
      <c r="BC11" s="404"/>
      <c r="BD11" s="388"/>
      <c r="BE11" s="388"/>
      <c r="BF11" s="388"/>
      <c r="BG11" s="388"/>
      <c r="BH11" s="404"/>
      <c r="BI11" s="388"/>
      <c r="BJ11" s="388"/>
      <c r="BK11" s="388"/>
      <c r="BL11" s="388"/>
      <c r="BM11" s="404"/>
      <c r="BN11" s="388"/>
      <c r="BO11" s="388"/>
      <c r="BP11" s="388"/>
      <c r="BQ11" s="388"/>
      <c r="BR11" s="404"/>
      <c r="BS11" s="388"/>
      <c r="BT11" s="388"/>
      <c r="BU11" s="388"/>
      <c r="BV11" s="388"/>
      <c r="BW11" s="398"/>
    </row>
    <row r="12" spans="1:75" ht="12.75" x14ac:dyDescent="0.2">
      <c r="A12" s="388"/>
      <c r="B12" s="388"/>
      <c r="C12" s="388"/>
      <c r="D12" s="405" t="s">
        <v>470</v>
      </c>
      <c r="E12" s="404"/>
      <c r="F12" s="388"/>
      <c r="G12" s="482">
        <f>SUM(G13:G15)</f>
        <v>107070000</v>
      </c>
      <c r="H12" s="101"/>
      <c r="I12" s="101"/>
      <c r="J12" s="487"/>
      <c r="K12" s="388"/>
      <c r="L12" s="482">
        <f>SUM(L13:L15)</f>
        <v>0</v>
      </c>
      <c r="M12" s="101"/>
      <c r="N12" s="101"/>
      <c r="O12" s="487"/>
      <c r="P12" s="388"/>
      <c r="Q12" s="482">
        <f>SUM(Q13:Q15)</f>
        <v>0</v>
      </c>
      <c r="R12" s="101"/>
      <c r="S12" s="101"/>
      <c r="T12" s="487"/>
      <c r="U12" s="388"/>
      <c r="V12" s="482">
        <f>SUM(V13:V15)</f>
        <v>0</v>
      </c>
      <c r="W12" s="101"/>
      <c r="X12" s="101"/>
      <c r="Y12" s="487"/>
      <c r="Z12" s="388"/>
      <c r="AA12" s="482">
        <f>SUM(AA13:AA15)</f>
        <v>86911584</v>
      </c>
      <c r="AB12" s="101"/>
      <c r="AC12" s="101"/>
      <c r="AD12" s="487"/>
      <c r="AE12" s="388"/>
      <c r="AF12" s="482">
        <f>SUM(AF13:AF15)</f>
        <v>0</v>
      </c>
      <c r="AG12" s="101"/>
      <c r="AH12" s="101"/>
      <c r="AI12" s="487"/>
      <c r="AJ12" s="388"/>
      <c r="AK12" s="482">
        <f>SUM(AK13:AK15)</f>
        <v>0</v>
      </c>
      <c r="AL12" s="101"/>
      <c r="AM12" s="101"/>
      <c r="AN12" s="487"/>
      <c r="AO12" s="388"/>
      <c r="AP12" s="482">
        <f>SUM(AP13:AP15)</f>
        <v>5008164</v>
      </c>
      <c r="AQ12" s="101"/>
      <c r="AR12" s="101"/>
      <c r="AS12" s="487"/>
      <c r="AT12" s="388"/>
      <c r="AU12" s="482">
        <f>SUM(AU13:AU15)</f>
        <v>0</v>
      </c>
      <c r="AV12" s="101"/>
      <c r="AW12" s="101"/>
      <c r="AX12" s="487"/>
      <c r="AY12" s="388"/>
      <c r="AZ12" s="482">
        <f>SUM(AZ13:AZ15)</f>
        <v>0</v>
      </c>
      <c r="BA12" s="101"/>
      <c r="BB12" s="101"/>
      <c r="BC12" s="487"/>
      <c r="BD12" s="388"/>
      <c r="BE12" s="482">
        <f>SUM(BE13:BE15)</f>
        <v>0</v>
      </c>
      <c r="BF12" s="101"/>
      <c r="BG12" s="101"/>
      <c r="BH12" s="487"/>
      <c r="BI12" s="388"/>
      <c r="BJ12" s="482">
        <f>SUM(BJ13:BJ15)</f>
        <v>0</v>
      </c>
      <c r="BK12" s="101"/>
      <c r="BL12" s="101"/>
      <c r="BM12" s="487"/>
      <c r="BN12" s="388"/>
      <c r="BO12" s="482">
        <f>SUM(BO13:BO15)</f>
        <v>0</v>
      </c>
      <c r="BP12" s="101"/>
      <c r="BQ12" s="101"/>
      <c r="BR12" s="487"/>
      <c r="BS12" s="388"/>
      <c r="BT12" s="482">
        <f>SUM(BT13:BT15)</f>
        <v>91919748</v>
      </c>
      <c r="BU12" s="101"/>
      <c r="BV12" s="101"/>
      <c r="BW12" s="398"/>
    </row>
    <row r="13" spans="1:75" ht="12.75" x14ac:dyDescent="0.2">
      <c r="A13" s="388"/>
      <c r="B13" s="388"/>
      <c r="C13" s="388"/>
      <c r="D13" s="398" t="s">
        <v>471</v>
      </c>
      <c r="E13" s="404"/>
      <c r="F13" s="488"/>
      <c r="G13" s="485">
        <f>G17</f>
        <v>107070000</v>
      </c>
      <c r="H13" s="486"/>
      <c r="I13" s="101"/>
      <c r="J13" s="487"/>
      <c r="K13" s="488"/>
      <c r="L13" s="485">
        <f>L17</f>
        <v>0</v>
      </c>
      <c r="M13" s="486"/>
      <c r="N13" s="101"/>
      <c r="O13" s="487"/>
      <c r="P13" s="488"/>
      <c r="Q13" s="485">
        <f>Q17</f>
        <v>0</v>
      </c>
      <c r="R13" s="486"/>
      <c r="S13" s="101"/>
      <c r="T13" s="487"/>
      <c r="U13" s="488"/>
      <c r="V13" s="485">
        <f>V17</f>
        <v>0</v>
      </c>
      <c r="W13" s="486"/>
      <c r="X13" s="101"/>
      <c r="Y13" s="487"/>
      <c r="Z13" s="488"/>
      <c r="AA13" s="485">
        <f>AA17</f>
        <v>86911584</v>
      </c>
      <c r="AB13" s="486"/>
      <c r="AC13" s="101"/>
      <c r="AD13" s="487"/>
      <c r="AE13" s="488"/>
      <c r="AF13" s="485">
        <f>AF17</f>
        <v>0</v>
      </c>
      <c r="AG13" s="486"/>
      <c r="AH13" s="101"/>
      <c r="AI13" s="487"/>
      <c r="AJ13" s="488"/>
      <c r="AK13" s="485">
        <f>AK17</f>
        <v>0</v>
      </c>
      <c r="AL13" s="486"/>
      <c r="AM13" s="101"/>
      <c r="AN13" s="487"/>
      <c r="AO13" s="488"/>
      <c r="AP13" s="485">
        <f>AP17</f>
        <v>5008164</v>
      </c>
      <c r="AQ13" s="486"/>
      <c r="AR13" s="101"/>
      <c r="AS13" s="487"/>
      <c r="AT13" s="488"/>
      <c r="AU13" s="485">
        <f>AU17</f>
        <v>0</v>
      </c>
      <c r="AV13" s="486"/>
      <c r="AW13" s="101"/>
      <c r="AX13" s="487"/>
      <c r="AY13" s="488"/>
      <c r="AZ13" s="485">
        <f>AZ17</f>
        <v>0</v>
      </c>
      <c r="BA13" s="486"/>
      <c r="BB13" s="101"/>
      <c r="BC13" s="487"/>
      <c r="BD13" s="488"/>
      <c r="BE13" s="485">
        <f>BE17</f>
        <v>0</v>
      </c>
      <c r="BF13" s="486"/>
      <c r="BG13" s="101"/>
      <c r="BH13" s="487"/>
      <c r="BI13" s="488"/>
      <c r="BJ13" s="485">
        <f>BJ17</f>
        <v>0</v>
      </c>
      <c r="BK13" s="486"/>
      <c r="BL13" s="101"/>
      <c r="BM13" s="487"/>
      <c r="BN13" s="488"/>
      <c r="BO13" s="485">
        <f>BO17</f>
        <v>0</v>
      </c>
      <c r="BP13" s="486"/>
      <c r="BQ13" s="101"/>
      <c r="BR13" s="487"/>
      <c r="BS13" s="488"/>
      <c r="BT13" s="485">
        <f>BT17</f>
        <v>91919748</v>
      </c>
      <c r="BU13" s="486"/>
      <c r="BV13" s="101"/>
      <c r="BW13" s="398"/>
    </row>
    <row r="14" spans="1:75" ht="12.75" x14ac:dyDescent="0.2">
      <c r="A14" s="388"/>
      <c r="B14" s="388"/>
      <c r="C14" s="388"/>
      <c r="D14" s="398" t="s">
        <v>472</v>
      </c>
      <c r="E14" s="404"/>
      <c r="F14" s="487"/>
      <c r="G14" s="101">
        <f>+G62</f>
        <v>0</v>
      </c>
      <c r="H14" s="49"/>
      <c r="I14" s="101"/>
      <c r="J14" s="487"/>
      <c r="K14" s="487"/>
      <c r="L14" s="101">
        <f>L62</f>
        <v>0</v>
      </c>
      <c r="M14" s="49"/>
      <c r="N14" s="101"/>
      <c r="O14" s="487"/>
      <c r="P14" s="487"/>
      <c r="Q14" s="101">
        <f>Q62</f>
        <v>0</v>
      </c>
      <c r="R14" s="49"/>
      <c r="S14" s="101"/>
      <c r="T14" s="487"/>
      <c r="U14" s="487"/>
      <c r="V14" s="101">
        <f>V62</f>
        <v>0</v>
      </c>
      <c r="W14" s="49"/>
      <c r="X14" s="101"/>
      <c r="Y14" s="487"/>
      <c r="Z14" s="487"/>
      <c r="AA14" s="101">
        <f>AA62</f>
        <v>0</v>
      </c>
      <c r="AB14" s="49"/>
      <c r="AC14" s="101"/>
      <c r="AD14" s="487"/>
      <c r="AE14" s="487"/>
      <c r="AF14" s="101">
        <f>AF62</f>
        <v>0</v>
      </c>
      <c r="AG14" s="49"/>
      <c r="AH14" s="101"/>
      <c r="AI14" s="487"/>
      <c r="AJ14" s="487"/>
      <c r="AK14" s="101">
        <f>AK62</f>
        <v>0</v>
      </c>
      <c r="AL14" s="49"/>
      <c r="AM14" s="101"/>
      <c r="AN14" s="487"/>
      <c r="AO14" s="487"/>
      <c r="AP14" s="101">
        <f>AP62</f>
        <v>0</v>
      </c>
      <c r="AQ14" s="49"/>
      <c r="AR14" s="101"/>
      <c r="AS14" s="487"/>
      <c r="AT14" s="487"/>
      <c r="AU14" s="101">
        <f>AU62</f>
        <v>0</v>
      </c>
      <c r="AV14" s="49"/>
      <c r="AW14" s="101"/>
      <c r="AX14" s="487"/>
      <c r="AY14" s="487"/>
      <c r="AZ14" s="101">
        <f>AZ62</f>
        <v>0</v>
      </c>
      <c r="BA14" s="49"/>
      <c r="BB14" s="101"/>
      <c r="BC14" s="487"/>
      <c r="BD14" s="487"/>
      <c r="BE14" s="101">
        <f>BE62</f>
        <v>0</v>
      </c>
      <c r="BF14" s="49"/>
      <c r="BG14" s="101"/>
      <c r="BH14" s="487"/>
      <c r="BI14" s="487"/>
      <c r="BJ14" s="101">
        <f>BJ62</f>
        <v>0</v>
      </c>
      <c r="BK14" s="49"/>
      <c r="BL14" s="101"/>
      <c r="BM14" s="487"/>
      <c r="BN14" s="487"/>
      <c r="BO14" s="101">
        <f>BO62</f>
        <v>0</v>
      </c>
      <c r="BP14" s="49"/>
      <c r="BQ14" s="101"/>
      <c r="BR14" s="487"/>
      <c r="BS14" s="487"/>
      <c r="BT14" s="101">
        <f>BT62</f>
        <v>0</v>
      </c>
      <c r="BU14" s="49"/>
      <c r="BV14" s="101"/>
      <c r="BW14" s="398"/>
    </row>
    <row r="15" spans="1:75" ht="12.75" x14ac:dyDescent="0.2">
      <c r="A15" s="388"/>
      <c r="B15" s="388"/>
      <c r="C15" s="388"/>
      <c r="D15" s="398" t="s">
        <v>473</v>
      </c>
      <c r="E15" s="404"/>
      <c r="F15" s="497"/>
      <c r="G15" s="496">
        <v>0</v>
      </c>
      <c r="H15" s="90"/>
      <c r="I15" s="101"/>
      <c r="J15" s="487"/>
      <c r="K15" s="497"/>
      <c r="L15" s="496">
        <f>L72</f>
        <v>0</v>
      </c>
      <c r="M15" s="90"/>
      <c r="N15" s="101"/>
      <c r="O15" s="487"/>
      <c r="P15" s="497"/>
      <c r="Q15" s="496">
        <f>Q72</f>
        <v>0</v>
      </c>
      <c r="R15" s="90"/>
      <c r="S15" s="101"/>
      <c r="T15" s="487"/>
      <c r="U15" s="497"/>
      <c r="V15" s="496">
        <f>V72</f>
        <v>0</v>
      </c>
      <c r="W15" s="90"/>
      <c r="X15" s="101"/>
      <c r="Y15" s="487"/>
      <c r="Z15" s="497"/>
      <c r="AA15" s="496">
        <f>AA72</f>
        <v>0</v>
      </c>
      <c r="AB15" s="90"/>
      <c r="AC15" s="101"/>
      <c r="AD15" s="487"/>
      <c r="AE15" s="497"/>
      <c r="AF15" s="496">
        <f>AF72</f>
        <v>0</v>
      </c>
      <c r="AG15" s="90"/>
      <c r="AH15" s="101"/>
      <c r="AI15" s="487"/>
      <c r="AJ15" s="497"/>
      <c r="AK15" s="496">
        <f>AK72</f>
        <v>0</v>
      </c>
      <c r="AL15" s="90"/>
      <c r="AM15" s="101"/>
      <c r="AN15" s="487"/>
      <c r="AO15" s="497"/>
      <c r="AP15" s="496">
        <f>AP72</f>
        <v>0</v>
      </c>
      <c r="AQ15" s="90"/>
      <c r="AR15" s="101"/>
      <c r="AS15" s="487"/>
      <c r="AT15" s="497"/>
      <c r="AU15" s="496">
        <f>AU72</f>
        <v>0</v>
      </c>
      <c r="AV15" s="90"/>
      <c r="AW15" s="101"/>
      <c r="AX15" s="487"/>
      <c r="AY15" s="497"/>
      <c r="AZ15" s="496">
        <f>AZ72</f>
        <v>0</v>
      </c>
      <c r="BA15" s="90"/>
      <c r="BB15" s="101"/>
      <c r="BC15" s="487"/>
      <c r="BD15" s="497"/>
      <c r="BE15" s="496">
        <f>BE72</f>
        <v>0</v>
      </c>
      <c r="BF15" s="90"/>
      <c r="BG15" s="101"/>
      <c r="BH15" s="487"/>
      <c r="BI15" s="497"/>
      <c r="BJ15" s="496">
        <f>BJ72</f>
        <v>0</v>
      </c>
      <c r="BK15" s="90"/>
      <c r="BL15" s="101"/>
      <c r="BM15" s="487"/>
      <c r="BN15" s="497"/>
      <c r="BO15" s="496">
        <f>BO72</f>
        <v>0</v>
      </c>
      <c r="BP15" s="90"/>
      <c r="BQ15" s="101"/>
      <c r="BR15" s="487"/>
      <c r="BS15" s="497"/>
      <c r="BT15" s="496">
        <f>BT72</f>
        <v>0</v>
      </c>
      <c r="BU15" s="90"/>
      <c r="BV15" s="101"/>
      <c r="BW15" s="398"/>
    </row>
    <row r="16" spans="1:75" ht="12.75" x14ac:dyDescent="0.2">
      <c r="A16" s="388"/>
      <c r="B16" s="388"/>
      <c r="C16" s="388"/>
      <c r="D16" s="398"/>
      <c r="E16" s="404"/>
      <c r="F16" s="388"/>
      <c r="G16" s="101"/>
      <c r="H16" s="101"/>
      <c r="I16" s="101"/>
      <c r="J16" s="487"/>
      <c r="K16" s="101"/>
      <c r="L16" s="101"/>
      <c r="M16" s="101"/>
      <c r="N16" s="101"/>
      <c r="O16" s="487"/>
      <c r="P16" s="101"/>
      <c r="Q16" s="101"/>
      <c r="R16" s="101"/>
      <c r="S16" s="101"/>
      <c r="T16" s="487"/>
      <c r="U16" s="101"/>
      <c r="V16" s="101"/>
      <c r="W16" s="101"/>
      <c r="X16" s="101"/>
      <c r="Y16" s="487"/>
      <c r="Z16" s="101"/>
      <c r="AA16" s="101"/>
      <c r="AB16" s="101"/>
      <c r="AC16" s="101"/>
      <c r="AD16" s="487"/>
      <c r="AE16" s="101"/>
      <c r="AF16" s="101"/>
      <c r="AG16" s="101"/>
      <c r="AH16" s="101"/>
      <c r="AI16" s="487"/>
      <c r="AJ16" s="101"/>
      <c r="AK16" s="101"/>
      <c r="AL16" s="101"/>
      <c r="AM16" s="101"/>
      <c r="AN16" s="487"/>
      <c r="AO16" s="101"/>
      <c r="AP16" s="101"/>
      <c r="AQ16" s="101"/>
      <c r="AR16" s="101"/>
      <c r="AS16" s="487"/>
      <c r="AT16" s="101"/>
      <c r="AU16" s="101"/>
      <c r="AV16" s="101"/>
      <c r="AW16" s="101"/>
      <c r="AX16" s="487"/>
      <c r="AY16" s="101"/>
      <c r="AZ16" s="101"/>
      <c r="BA16" s="101"/>
      <c r="BB16" s="101"/>
      <c r="BC16" s="487"/>
      <c r="BD16" s="101"/>
      <c r="BE16" s="101"/>
      <c r="BF16" s="101"/>
      <c r="BG16" s="101"/>
      <c r="BH16" s="487"/>
      <c r="BI16" s="101"/>
      <c r="BJ16" s="101"/>
      <c r="BK16" s="101"/>
      <c r="BL16" s="101"/>
      <c r="BM16" s="487"/>
      <c r="BN16" s="101"/>
      <c r="BO16" s="101"/>
      <c r="BP16" s="101"/>
      <c r="BQ16" s="101"/>
      <c r="BR16" s="487"/>
      <c r="BS16" s="101"/>
      <c r="BT16" s="101"/>
      <c r="BU16" s="101"/>
      <c r="BV16" s="101"/>
      <c r="BW16" s="398"/>
    </row>
    <row r="17" spans="1:78" s="411" customFormat="1" ht="12.75" x14ac:dyDescent="0.2">
      <c r="A17" s="389"/>
      <c r="B17" s="389"/>
      <c r="C17" s="389"/>
      <c r="D17" s="405" t="s">
        <v>474</v>
      </c>
      <c r="E17" s="407"/>
      <c r="F17" s="389"/>
      <c r="G17" s="482">
        <f>SUM(G18:G20)</f>
        <v>107070000</v>
      </c>
      <c r="H17" s="482"/>
      <c r="I17" s="482"/>
      <c r="J17" s="483"/>
      <c r="K17" s="482"/>
      <c r="L17" s="482">
        <f>SUM(L18:L20)</f>
        <v>0</v>
      </c>
      <c r="M17" s="482"/>
      <c r="N17" s="482"/>
      <c r="O17" s="483"/>
      <c r="P17" s="482"/>
      <c r="Q17" s="482">
        <f>SUM(Q18:Q20)</f>
        <v>0</v>
      </c>
      <c r="R17" s="482"/>
      <c r="S17" s="482"/>
      <c r="T17" s="483"/>
      <c r="U17" s="482"/>
      <c r="V17" s="482">
        <f>SUM(V18:V20)</f>
        <v>0</v>
      </c>
      <c r="W17" s="482"/>
      <c r="X17" s="482"/>
      <c r="Y17" s="483"/>
      <c r="Z17" s="482"/>
      <c r="AA17" s="482">
        <f>SUM(AA18:AA20)</f>
        <v>86911584</v>
      </c>
      <c r="AB17" s="482"/>
      <c r="AC17" s="482"/>
      <c r="AD17" s="483"/>
      <c r="AE17" s="482"/>
      <c r="AF17" s="482">
        <f>SUM(AF18:AF20)</f>
        <v>0</v>
      </c>
      <c r="AG17" s="482"/>
      <c r="AH17" s="482"/>
      <c r="AI17" s="483"/>
      <c r="AJ17" s="482"/>
      <c r="AK17" s="482">
        <f>SUM(AK18:AK20)</f>
        <v>0</v>
      </c>
      <c r="AL17" s="482"/>
      <c r="AM17" s="482"/>
      <c r="AN17" s="483"/>
      <c r="AO17" s="482"/>
      <c r="AP17" s="482">
        <f>SUM(AP18:AP20)</f>
        <v>5008164</v>
      </c>
      <c r="AQ17" s="482"/>
      <c r="AR17" s="482"/>
      <c r="AS17" s="483"/>
      <c r="AT17" s="482"/>
      <c r="AU17" s="482">
        <f>SUM(AU18:AU20)</f>
        <v>0</v>
      </c>
      <c r="AV17" s="482"/>
      <c r="AW17" s="482"/>
      <c r="AX17" s="483"/>
      <c r="AY17" s="482"/>
      <c r="AZ17" s="482">
        <f>SUM(AZ18:AZ20)</f>
        <v>0</v>
      </c>
      <c r="BA17" s="482"/>
      <c r="BB17" s="482"/>
      <c r="BC17" s="483"/>
      <c r="BD17" s="482"/>
      <c r="BE17" s="482">
        <f>SUM(BE18:BE20)</f>
        <v>0</v>
      </c>
      <c r="BF17" s="482"/>
      <c r="BG17" s="482"/>
      <c r="BH17" s="483"/>
      <c r="BI17" s="482"/>
      <c r="BJ17" s="482">
        <f>SUM(BJ18:BJ20)</f>
        <v>0</v>
      </c>
      <c r="BK17" s="482"/>
      <c r="BL17" s="482"/>
      <c r="BM17" s="483"/>
      <c r="BN17" s="482"/>
      <c r="BO17" s="482">
        <f>SUM(BO18:BO20)</f>
        <v>0</v>
      </c>
      <c r="BP17" s="482"/>
      <c r="BQ17" s="482"/>
      <c r="BR17" s="483"/>
      <c r="BS17" s="482"/>
      <c r="BT17" s="482">
        <f>SUM(BT18:BT20)</f>
        <v>91919748</v>
      </c>
      <c r="BU17" s="482"/>
      <c r="BV17" s="482"/>
      <c r="BW17" s="405"/>
      <c r="BY17" s="38"/>
      <c r="BZ17" s="38"/>
    </row>
    <row r="18" spans="1:78" ht="12.75" x14ac:dyDescent="0.2">
      <c r="A18" s="388"/>
      <c r="B18" s="388"/>
      <c r="C18" s="388"/>
      <c r="D18" s="398" t="s">
        <v>373</v>
      </c>
      <c r="E18" s="404"/>
      <c r="F18" s="412"/>
      <c r="G18" s="485">
        <v>107070000</v>
      </c>
      <c r="H18" s="486"/>
      <c r="I18" s="101"/>
      <c r="J18" s="487"/>
      <c r="K18" s="488"/>
      <c r="L18" s="485">
        <f>+L38+L43+L57+L83+L88+L93+L33+L28+L23</f>
        <v>0</v>
      </c>
      <c r="M18" s="486"/>
      <c r="N18" s="101"/>
      <c r="O18" s="487"/>
      <c r="P18" s="488"/>
      <c r="Q18" s="485">
        <f>+Q38+Q43+Q57+Q83+Q88+Q93+Q33+Q28+Q23</f>
        <v>0</v>
      </c>
      <c r="R18" s="486"/>
      <c r="S18" s="101"/>
      <c r="T18" s="487"/>
      <c r="U18" s="488"/>
      <c r="V18" s="485">
        <f>+V38+V43+V57+V83+V88+V93+V33+V28+V23</f>
        <v>0</v>
      </c>
      <c r="W18" s="486"/>
      <c r="X18" s="101"/>
      <c r="Y18" s="487"/>
      <c r="Z18" s="488"/>
      <c r="AA18" s="485">
        <f>+AA38+AA43+AA57+AA83+AA88+AA93+AA33+AA28+AA23</f>
        <v>86911584</v>
      </c>
      <c r="AB18" s="486"/>
      <c r="AC18" s="101"/>
      <c r="AD18" s="487"/>
      <c r="AE18" s="488"/>
      <c r="AF18" s="485">
        <f>+AF38+AF43+AF57+AF83+AF88+AF93+AF33+AF28+AF23</f>
        <v>0</v>
      </c>
      <c r="AG18" s="486"/>
      <c r="AH18" s="101"/>
      <c r="AI18" s="487"/>
      <c r="AJ18" s="488"/>
      <c r="AK18" s="485">
        <f>+AK38+AK43+AK58+AK83+AK88+AK93+AK33+AK28+AK23</f>
        <v>0</v>
      </c>
      <c r="AL18" s="486"/>
      <c r="AM18" s="101"/>
      <c r="AN18" s="487"/>
      <c r="AO18" s="488"/>
      <c r="AP18" s="485">
        <f>+AP38+AP43+AP58+AP83+AP88+AP93+AP33+AP28+AP23</f>
        <v>5008164</v>
      </c>
      <c r="AQ18" s="486"/>
      <c r="AR18" s="101"/>
      <c r="AS18" s="487"/>
      <c r="AT18" s="488"/>
      <c r="AU18" s="485">
        <f>+AU38+AU43+AU57+AU83+AU88+AU93+AU33+AU28+AU23</f>
        <v>0</v>
      </c>
      <c r="AV18" s="486"/>
      <c r="AW18" s="101"/>
      <c r="AX18" s="487"/>
      <c r="AY18" s="488"/>
      <c r="AZ18" s="485">
        <f>+AZ38+AZ43+AZ57+AZ83+AZ88+AZ93+AZ33+AZ28+AZ23</f>
        <v>0</v>
      </c>
      <c r="BA18" s="486"/>
      <c r="BB18" s="101"/>
      <c r="BC18" s="487"/>
      <c r="BD18" s="488"/>
      <c r="BE18" s="485">
        <f>+BE38+BE43+BE57+BE83+BE88+BE93+BE33+BE28+BE23</f>
        <v>0</v>
      </c>
      <c r="BF18" s="486"/>
      <c r="BG18" s="101"/>
      <c r="BH18" s="487"/>
      <c r="BI18" s="488"/>
      <c r="BJ18" s="485">
        <f>+BJ38+BJ43+BJ57+BJ83+BJ88+BJ93+BJ33+BJ28+BJ23</f>
        <v>0</v>
      </c>
      <c r="BK18" s="486"/>
      <c r="BL18" s="101"/>
      <c r="BM18" s="487"/>
      <c r="BN18" s="488"/>
      <c r="BO18" s="485">
        <f>+BO38+BO43+BO57+BO83+BO88+BO93+BO33+BO28+BO23</f>
        <v>0</v>
      </c>
      <c r="BP18" s="486"/>
      <c r="BQ18" s="101"/>
      <c r="BR18" s="487"/>
      <c r="BS18" s="488"/>
      <c r="BT18" s="485">
        <f>+BT38+BT43+BT58+BT83+BT88+BT93+BT33+BT28+BT23</f>
        <v>91919748</v>
      </c>
      <c r="BU18" s="486"/>
      <c r="BV18" s="101"/>
      <c r="BW18" s="398"/>
    </row>
    <row r="19" spans="1:78" ht="12.75" x14ac:dyDescent="0.2">
      <c r="A19" s="388"/>
      <c r="B19" s="388"/>
      <c r="C19" s="388"/>
      <c r="D19" s="398" t="s">
        <v>375</v>
      </c>
      <c r="E19" s="404"/>
      <c r="F19" s="404"/>
      <c r="G19" s="101">
        <v>0</v>
      </c>
      <c r="H19" s="49"/>
      <c r="I19" s="101"/>
      <c r="J19" s="487"/>
      <c r="K19" s="487"/>
      <c r="L19" s="101">
        <f>+L39+L44+L84+L89+L94+L34+L29+L24</f>
        <v>0</v>
      </c>
      <c r="M19" s="49"/>
      <c r="N19" s="101"/>
      <c r="O19" s="487"/>
      <c r="P19" s="487"/>
      <c r="Q19" s="101">
        <f>+Q39+Q44+Q84+Q89+Q94+Q34+Q29+Q24</f>
        <v>0</v>
      </c>
      <c r="R19" s="49"/>
      <c r="S19" s="101"/>
      <c r="T19" s="487"/>
      <c r="U19" s="487"/>
      <c r="V19" s="101">
        <f>+V39+V44+V84+V89+V94+V34+V29+V24</f>
        <v>0</v>
      </c>
      <c r="W19" s="49"/>
      <c r="X19" s="101"/>
      <c r="Y19" s="487"/>
      <c r="Z19" s="487"/>
      <c r="AA19" s="101">
        <f>+AA39+AA44+AA84+AA89+AA94+AA34+AA29+AA24</f>
        <v>0</v>
      </c>
      <c r="AB19" s="49"/>
      <c r="AC19" s="101"/>
      <c r="AD19" s="487"/>
      <c r="AE19" s="487"/>
      <c r="AF19" s="101">
        <f>+AF39+AF44+AF84+AF89+AF94+AF34+AF29+AF24</f>
        <v>0</v>
      </c>
      <c r="AG19" s="49"/>
      <c r="AH19" s="101"/>
      <c r="AI19" s="487"/>
      <c r="AJ19" s="487"/>
      <c r="AK19" s="101">
        <f>+AK39+AK44+AK84+AK89+AK94+AK34+AK29+AK24+AK59</f>
        <v>0</v>
      </c>
      <c r="AL19" s="49"/>
      <c r="AM19" s="101"/>
      <c r="AN19" s="487"/>
      <c r="AO19" s="487"/>
      <c r="AP19" s="101">
        <f>+AP39+AP44+AP84+AP89+AP94+AP34+AP29+AP24+AP59</f>
        <v>0</v>
      </c>
      <c r="AQ19" s="49"/>
      <c r="AR19" s="101"/>
      <c r="AS19" s="487"/>
      <c r="AT19" s="487"/>
      <c r="AU19" s="101">
        <f>+AU39+AU44+AU84+AU89+AU94+AU34+AU29+AU24</f>
        <v>0</v>
      </c>
      <c r="AV19" s="49"/>
      <c r="AW19" s="101"/>
      <c r="AX19" s="487"/>
      <c r="AY19" s="487"/>
      <c r="AZ19" s="101">
        <f>+AZ39+AZ44+AZ84+AZ89+AZ94+AZ34+AZ29+AZ24</f>
        <v>0</v>
      </c>
      <c r="BA19" s="49"/>
      <c r="BB19" s="101"/>
      <c r="BC19" s="487"/>
      <c r="BD19" s="487"/>
      <c r="BE19" s="101">
        <f>+BE39+BE44+BE84+BE89+BE94+BE34+BE29+BE24</f>
        <v>0</v>
      </c>
      <c r="BF19" s="49"/>
      <c r="BG19" s="101"/>
      <c r="BH19" s="487"/>
      <c r="BI19" s="487"/>
      <c r="BJ19" s="101">
        <f>+BJ39+BJ44+BJ84+BJ89+BJ94+BJ34+BJ29+BJ24</f>
        <v>0</v>
      </c>
      <c r="BK19" s="49"/>
      <c r="BL19" s="101"/>
      <c r="BM19" s="487"/>
      <c r="BN19" s="487"/>
      <c r="BO19" s="101">
        <f>+BO39+BO44+BO84+BO89+BO94+BO34+BO29+BO24</f>
        <v>0</v>
      </c>
      <c r="BP19" s="49"/>
      <c r="BQ19" s="101"/>
      <c r="BR19" s="487"/>
      <c r="BS19" s="487"/>
      <c r="BT19" s="101">
        <f>+BT39+BT44+BT84+BT89+BT94+BT34+BT29+BT24+BT59</f>
        <v>0</v>
      </c>
      <c r="BU19" s="49"/>
      <c r="BV19" s="101"/>
      <c r="BW19" s="398"/>
    </row>
    <row r="20" spans="1:78" ht="12.75" x14ac:dyDescent="0.2">
      <c r="A20" s="388"/>
      <c r="B20" s="388"/>
      <c r="C20" s="388"/>
      <c r="D20" s="398" t="s">
        <v>383</v>
      </c>
      <c r="E20" s="404"/>
      <c r="F20" s="427"/>
      <c r="G20" s="496">
        <v>0</v>
      </c>
      <c r="H20" s="90"/>
      <c r="I20" s="101"/>
      <c r="J20" s="487"/>
      <c r="K20" s="497"/>
      <c r="L20" s="496">
        <f>+L40+L45+L85+L90+L95+L35+L30+L25</f>
        <v>0</v>
      </c>
      <c r="M20" s="90"/>
      <c r="N20" s="101"/>
      <c r="O20" s="487"/>
      <c r="P20" s="497"/>
      <c r="Q20" s="496">
        <f>+Q40+Q45+Q85+Q90+Q95+Q35+Q30+Q25</f>
        <v>0</v>
      </c>
      <c r="R20" s="90"/>
      <c r="S20" s="101"/>
      <c r="T20" s="487"/>
      <c r="U20" s="497"/>
      <c r="V20" s="496">
        <f>+V40+V45+V85+V90+V95+V35+V30+V25</f>
        <v>0</v>
      </c>
      <c r="W20" s="90"/>
      <c r="X20" s="101"/>
      <c r="Y20" s="487"/>
      <c r="Z20" s="497"/>
      <c r="AA20" s="496">
        <f>+AA40+AA45+AA85+AA90+AA95+AA35+AA30+AA25</f>
        <v>0</v>
      </c>
      <c r="AB20" s="90"/>
      <c r="AC20" s="101"/>
      <c r="AD20" s="487"/>
      <c r="AE20" s="497"/>
      <c r="AF20" s="496">
        <f>+AF40+AF45+AF85+AF90+AF95+AF35+AF30+AF25</f>
        <v>0</v>
      </c>
      <c r="AG20" s="90"/>
      <c r="AH20" s="101"/>
      <c r="AI20" s="487"/>
      <c r="AJ20" s="497"/>
      <c r="AK20" s="496">
        <f>+AK40+AK45+AK85+AK90+AK95+AK35+AK30+AK25+AK60</f>
        <v>0</v>
      </c>
      <c r="AL20" s="90"/>
      <c r="AM20" s="101"/>
      <c r="AN20" s="487"/>
      <c r="AO20" s="497"/>
      <c r="AP20" s="496">
        <f>+AP40+AP45+AP85+AP90+AP95+AP35+AP30+AP25+AP60</f>
        <v>0</v>
      </c>
      <c r="AQ20" s="90"/>
      <c r="AR20" s="101"/>
      <c r="AS20" s="487"/>
      <c r="AT20" s="497"/>
      <c r="AU20" s="496">
        <f>+AU40+AU45+AU85+AU90+AU95+AU35+AU30+AU25</f>
        <v>0</v>
      </c>
      <c r="AV20" s="90"/>
      <c r="AW20" s="101"/>
      <c r="AX20" s="487"/>
      <c r="AY20" s="497"/>
      <c r="AZ20" s="496">
        <f>+AZ40+AZ45+AZ85+AZ90+AZ95+AZ35+AZ30+AZ25</f>
        <v>0</v>
      </c>
      <c r="BA20" s="90"/>
      <c r="BB20" s="101"/>
      <c r="BC20" s="487"/>
      <c r="BD20" s="497"/>
      <c r="BE20" s="496">
        <f>+BE40+BE45+BE85+BE90+BE95+BE35+BE30+BE25</f>
        <v>0</v>
      </c>
      <c r="BF20" s="90"/>
      <c r="BG20" s="101"/>
      <c r="BH20" s="487"/>
      <c r="BI20" s="497"/>
      <c r="BJ20" s="496">
        <f>+BJ40+BJ45+BJ85+BJ90+BJ95+BJ35+BJ30+BJ25</f>
        <v>0</v>
      </c>
      <c r="BK20" s="90"/>
      <c r="BL20" s="101"/>
      <c r="BM20" s="487"/>
      <c r="BN20" s="497"/>
      <c r="BO20" s="496">
        <f>+BO40+BO45+BO85+BO90+BO95+BO35+BO30+BO25</f>
        <v>0</v>
      </c>
      <c r="BP20" s="90"/>
      <c r="BQ20" s="101"/>
      <c r="BR20" s="487"/>
      <c r="BS20" s="497"/>
      <c r="BT20" s="496">
        <f>+BT40+BT45+BT85+BT90+BT95+BT35+BT30+BT25+BT60</f>
        <v>0</v>
      </c>
      <c r="BU20" s="90"/>
      <c r="BV20" s="101"/>
      <c r="BW20" s="398"/>
    </row>
    <row r="21" spans="1:78" ht="12.75" x14ac:dyDescent="0.2">
      <c r="A21" s="388"/>
      <c r="B21" s="388"/>
      <c r="C21" s="388"/>
      <c r="D21" s="398"/>
      <c r="E21" s="404"/>
      <c r="F21" s="388"/>
      <c r="G21" s="101"/>
      <c r="H21" s="101"/>
      <c r="I21" s="101"/>
      <c r="J21" s="487"/>
      <c r="K21" s="101"/>
      <c r="L21" s="101"/>
      <c r="M21" s="101"/>
      <c r="N21" s="101"/>
      <c r="O21" s="487"/>
      <c r="P21" s="101"/>
      <c r="Q21" s="101"/>
      <c r="R21" s="101"/>
      <c r="S21" s="101"/>
      <c r="T21" s="487"/>
      <c r="U21" s="101"/>
      <c r="V21" s="101"/>
      <c r="W21" s="101"/>
      <c r="X21" s="101"/>
      <c r="Y21" s="487"/>
      <c r="Z21" s="101"/>
      <c r="AA21" s="101"/>
      <c r="AB21" s="101"/>
      <c r="AC21" s="101"/>
      <c r="AD21" s="487"/>
      <c r="AE21" s="101"/>
      <c r="AF21" s="101"/>
      <c r="AG21" s="101"/>
      <c r="AH21" s="101"/>
      <c r="AI21" s="487"/>
      <c r="AJ21" s="101"/>
      <c r="AK21" s="101"/>
      <c r="AL21" s="101"/>
      <c r="AM21" s="101"/>
      <c r="AN21" s="487"/>
      <c r="AO21" s="101"/>
      <c r="AP21" s="101"/>
      <c r="AQ21" s="101"/>
      <c r="AR21" s="101"/>
      <c r="AS21" s="487"/>
      <c r="AT21" s="101"/>
      <c r="AU21" s="101"/>
      <c r="AV21" s="101"/>
      <c r="AW21" s="101"/>
      <c r="AX21" s="487"/>
      <c r="AY21" s="101"/>
      <c r="AZ21" s="101"/>
      <c r="BA21" s="101"/>
      <c r="BB21" s="101"/>
      <c r="BC21" s="487"/>
      <c r="BD21" s="101"/>
      <c r="BE21" s="101"/>
      <c r="BF21" s="101"/>
      <c r="BG21" s="101"/>
      <c r="BH21" s="487"/>
      <c r="BI21" s="101"/>
      <c r="BJ21" s="101"/>
      <c r="BK21" s="101"/>
      <c r="BL21" s="101"/>
      <c r="BM21" s="487"/>
      <c r="BN21" s="101"/>
      <c r="BO21" s="101"/>
      <c r="BP21" s="101"/>
      <c r="BQ21" s="101"/>
      <c r="BR21" s="487"/>
      <c r="BS21" s="101"/>
      <c r="BT21" s="101"/>
      <c r="BU21" s="101"/>
      <c r="BV21" s="101"/>
      <c r="BW21" s="398"/>
    </row>
    <row r="22" spans="1:78" ht="12.75" x14ac:dyDescent="0.2">
      <c r="A22" s="388"/>
      <c r="B22" s="388"/>
      <c r="C22" s="388"/>
      <c r="D22" s="398" t="s">
        <v>475</v>
      </c>
      <c r="E22" s="404"/>
      <c r="F22" s="388"/>
      <c r="G22" s="101">
        <f>SUM(G23:G25)</f>
        <v>0</v>
      </c>
      <c r="H22" s="101"/>
      <c r="I22" s="101"/>
      <c r="J22" s="487"/>
      <c r="K22" s="101"/>
      <c r="L22" s="101">
        <f>L23+L25</f>
        <v>0</v>
      </c>
      <c r="M22" s="101"/>
      <c r="N22" s="101"/>
      <c r="O22" s="487"/>
      <c r="P22" s="101"/>
      <c r="Q22" s="101">
        <f>Q23+Q25</f>
        <v>0</v>
      </c>
      <c r="R22" s="101"/>
      <c r="S22" s="101"/>
      <c r="T22" s="487"/>
      <c r="U22" s="101"/>
      <c r="V22" s="101">
        <f>V23+V25</f>
        <v>0</v>
      </c>
      <c r="W22" s="101"/>
      <c r="X22" s="101"/>
      <c r="Y22" s="487"/>
      <c r="Z22" s="101"/>
      <c r="AA22" s="101">
        <f>AA23+AA25</f>
        <v>0</v>
      </c>
      <c r="AB22" s="101"/>
      <c r="AC22" s="101"/>
      <c r="AD22" s="487"/>
      <c r="AE22" s="101"/>
      <c r="AF22" s="101">
        <f>AF23+AF25</f>
        <v>0</v>
      </c>
      <c r="AG22" s="101"/>
      <c r="AH22" s="101"/>
      <c r="AI22" s="487"/>
      <c r="AJ22" s="101"/>
      <c r="AK22" s="101">
        <f>AK23+AK25</f>
        <v>0</v>
      </c>
      <c r="AL22" s="101"/>
      <c r="AM22" s="101"/>
      <c r="AN22" s="487"/>
      <c r="AO22" s="101"/>
      <c r="AP22" s="101">
        <f>AP23+AP25</f>
        <v>0</v>
      </c>
      <c r="AQ22" s="101"/>
      <c r="AR22" s="101"/>
      <c r="AS22" s="487"/>
      <c r="AT22" s="101"/>
      <c r="AU22" s="101">
        <f>AU23+AU25</f>
        <v>0</v>
      </c>
      <c r="AV22" s="101"/>
      <c r="AW22" s="101"/>
      <c r="AX22" s="487"/>
      <c r="AY22" s="101"/>
      <c r="AZ22" s="101">
        <f>AZ23+AZ25</f>
        <v>0</v>
      </c>
      <c r="BA22" s="101"/>
      <c r="BB22" s="101"/>
      <c r="BC22" s="487"/>
      <c r="BD22" s="101"/>
      <c r="BE22" s="101">
        <f>BE23+BE25</f>
        <v>0</v>
      </c>
      <c r="BF22" s="101"/>
      <c r="BG22" s="101"/>
      <c r="BH22" s="487"/>
      <c r="BI22" s="101"/>
      <c r="BJ22" s="101">
        <f>BJ23+BJ25</f>
        <v>0</v>
      </c>
      <c r="BK22" s="101"/>
      <c r="BL22" s="101"/>
      <c r="BM22" s="487"/>
      <c r="BN22" s="101"/>
      <c r="BO22" s="101">
        <f>BO23+BO25</f>
        <v>0</v>
      </c>
      <c r="BP22" s="101"/>
      <c r="BQ22" s="101"/>
      <c r="BR22" s="487"/>
      <c r="BS22" s="101"/>
      <c r="BT22" s="101">
        <f>SUM(BT23:BT25)</f>
        <v>0</v>
      </c>
      <c r="BU22" s="101"/>
      <c r="BV22" s="101"/>
      <c r="BW22" s="398"/>
    </row>
    <row r="23" spans="1:78" ht="12.75" x14ac:dyDescent="0.2">
      <c r="A23" s="388"/>
      <c r="B23" s="388"/>
      <c r="C23" s="388"/>
      <c r="D23" s="398" t="s">
        <v>373</v>
      </c>
      <c r="E23" s="404"/>
      <c r="F23" s="412"/>
      <c r="G23" s="485">
        <v>0</v>
      </c>
      <c r="H23" s="486"/>
      <c r="I23" s="101"/>
      <c r="J23" s="487"/>
      <c r="K23" s="488"/>
      <c r="L23" s="485">
        <v>0</v>
      </c>
      <c r="M23" s="486"/>
      <c r="N23" s="101"/>
      <c r="O23" s="487"/>
      <c r="P23" s="488"/>
      <c r="Q23" s="485">
        <v>0</v>
      </c>
      <c r="R23" s="486"/>
      <c r="S23" s="101"/>
      <c r="T23" s="487"/>
      <c r="U23" s="488"/>
      <c r="V23" s="485">
        <v>0</v>
      </c>
      <c r="W23" s="486"/>
      <c r="X23" s="101"/>
      <c r="Y23" s="487"/>
      <c r="Z23" s="488"/>
      <c r="AA23" s="485">
        <v>0</v>
      </c>
      <c r="AB23" s="486"/>
      <c r="AC23" s="101"/>
      <c r="AD23" s="487"/>
      <c r="AE23" s="488"/>
      <c r="AF23" s="485">
        <v>0</v>
      </c>
      <c r="AG23" s="486"/>
      <c r="AH23" s="101"/>
      <c r="AI23" s="487"/>
      <c r="AJ23" s="488"/>
      <c r="AK23" s="485">
        <v>0</v>
      </c>
      <c r="AL23" s="486"/>
      <c r="AM23" s="101"/>
      <c r="AN23" s="487"/>
      <c r="AO23" s="488"/>
      <c r="AP23" s="485">
        <v>0</v>
      </c>
      <c r="AQ23" s="486"/>
      <c r="AR23" s="101"/>
      <c r="AS23" s="487"/>
      <c r="AT23" s="488"/>
      <c r="AU23" s="485">
        <v>0</v>
      </c>
      <c r="AV23" s="486"/>
      <c r="AW23" s="101"/>
      <c r="AX23" s="487"/>
      <c r="AY23" s="488"/>
      <c r="AZ23" s="485">
        <v>0</v>
      </c>
      <c r="BA23" s="486"/>
      <c r="BB23" s="101"/>
      <c r="BC23" s="487"/>
      <c r="BD23" s="488"/>
      <c r="BE23" s="485">
        <v>0</v>
      </c>
      <c r="BF23" s="486"/>
      <c r="BG23" s="101"/>
      <c r="BH23" s="487"/>
      <c r="BI23" s="488"/>
      <c r="BJ23" s="485">
        <v>0</v>
      </c>
      <c r="BK23" s="486"/>
      <c r="BL23" s="101"/>
      <c r="BM23" s="487"/>
      <c r="BN23" s="488"/>
      <c r="BO23" s="485">
        <v>0</v>
      </c>
      <c r="BP23" s="486"/>
      <c r="BQ23" s="101"/>
      <c r="BR23" s="487"/>
      <c r="BS23" s="488"/>
      <c r="BT23" s="485">
        <f>SUM(L23:BO23)</f>
        <v>0</v>
      </c>
      <c r="BU23" s="486"/>
      <c r="BV23" s="101"/>
      <c r="BW23" s="398"/>
    </row>
    <row r="24" spans="1:78" ht="12.75" x14ac:dyDescent="0.2">
      <c r="A24" s="388"/>
      <c r="B24" s="388"/>
      <c r="C24" s="388"/>
      <c r="D24" s="398" t="s">
        <v>375</v>
      </c>
      <c r="E24" s="404"/>
      <c r="F24" s="404"/>
      <c r="G24" s="101">
        <v>0</v>
      </c>
      <c r="H24" s="49"/>
      <c r="I24" s="101"/>
      <c r="J24" s="487"/>
      <c r="K24" s="487"/>
      <c r="L24" s="101">
        <v>0</v>
      </c>
      <c r="M24" s="49"/>
      <c r="N24" s="101"/>
      <c r="O24" s="487"/>
      <c r="P24" s="487"/>
      <c r="Q24" s="101">
        <v>0</v>
      </c>
      <c r="R24" s="49"/>
      <c r="S24" s="101"/>
      <c r="T24" s="487"/>
      <c r="U24" s="487"/>
      <c r="V24" s="101">
        <v>0</v>
      </c>
      <c r="W24" s="49"/>
      <c r="X24" s="101"/>
      <c r="Y24" s="487"/>
      <c r="Z24" s="487"/>
      <c r="AA24" s="101">
        <v>0</v>
      </c>
      <c r="AB24" s="49"/>
      <c r="AC24" s="101"/>
      <c r="AD24" s="487"/>
      <c r="AE24" s="487"/>
      <c r="AF24" s="101">
        <v>0</v>
      </c>
      <c r="AG24" s="49"/>
      <c r="AH24" s="101"/>
      <c r="AI24" s="487"/>
      <c r="AJ24" s="487"/>
      <c r="AK24" s="101">
        <v>0</v>
      </c>
      <c r="AL24" s="49"/>
      <c r="AM24" s="101"/>
      <c r="AN24" s="487"/>
      <c r="AO24" s="487"/>
      <c r="AP24" s="101">
        <v>0</v>
      </c>
      <c r="AQ24" s="49"/>
      <c r="AR24" s="101"/>
      <c r="AS24" s="487"/>
      <c r="AT24" s="487"/>
      <c r="AU24" s="101">
        <v>0</v>
      </c>
      <c r="AV24" s="49"/>
      <c r="AW24" s="101"/>
      <c r="AX24" s="487"/>
      <c r="AY24" s="487"/>
      <c r="AZ24" s="101">
        <v>0</v>
      </c>
      <c r="BA24" s="49"/>
      <c r="BB24" s="101"/>
      <c r="BC24" s="487"/>
      <c r="BD24" s="487"/>
      <c r="BE24" s="101">
        <v>0</v>
      </c>
      <c r="BF24" s="49"/>
      <c r="BG24" s="101"/>
      <c r="BH24" s="487"/>
      <c r="BI24" s="487"/>
      <c r="BJ24" s="101">
        <v>0</v>
      </c>
      <c r="BK24" s="49"/>
      <c r="BL24" s="101"/>
      <c r="BM24" s="487"/>
      <c r="BN24" s="487"/>
      <c r="BO24" s="101">
        <v>0</v>
      </c>
      <c r="BP24" s="49"/>
      <c r="BQ24" s="101"/>
      <c r="BR24" s="487"/>
      <c r="BS24" s="487"/>
      <c r="BT24" s="101">
        <f>SUM(L24:BO24)</f>
        <v>0</v>
      </c>
      <c r="BU24" s="49"/>
      <c r="BV24" s="101"/>
      <c r="BW24" s="398"/>
    </row>
    <row r="25" spans="1:78" ht="12.75" x14ac:dyDescent="0.2">
      <c r="A25" s="388"/>
      <c r="B25" s="388"/>
      <c r="C25" s="388"/>
      <c r="D25" s="398" t="s">
        <v>383</v>
      </c>
      <c r="E25" s="404"/>
      <c r="F25" s="427"/>
      <c r="G25" s="496">
        <v>0</v>
      </c>
      <c r="H25" s="90"/>
      <c r="I25" s="101"/>
      <c r="J25" s="487"/>
      <c r="K25" s="497"/>
      <c r="L25" s="496">
        <v>0</v>
      </c>
      <c r="M25" s="90"/>
      <c r="N25" s="101"/>
      <c r="O25" s="487"/>
      <c r="P25" s="497"/>
      <c r="Q25" s="496">
        <v>0</v>
      </c>
      <c r="R25" s="90"/>
      <c r="S25" s="101"/>
      <c r="T25" s="487"/>
      <c r="U25" s="497"/>
      <c r="V25" s="496">
        <v>0</v>
      </c>
      <c r="W25" s="90"/>
      <c r="X25" s="101"/>
      <c r="Y25" s="487"/>
      <c r="Z25" s="497"/>
      <c r="AA25" s="496">
        <v>0</v>
      </c>
      <c r="AB25" s="90"/>
      <c r="AC25" s="101"/>
      <c r="AD25" s="487"/>
      <c r="AE25" s="497"/>
      <c r="AF25" s="496">
        <v>0</v>
      </c>
      <c r="AG25" s="90"/>
      <c r="AH25" s="101"/>
      <c r="AI25" s="487"/>
      <c r="AJ25" s="497"/>
      <c r="AK25" s="496">
        <v>0</v>
      </c>
      <c r="AL25" s="90"/>
      <c r="AM25" s="101"/>
      <c r="AN25" s="487"/>
      <c r="AO25" s="497"/>
      <c r="AP25" s="496">
        <v>0</v>
      </c>
      <c r="AQ25" s="90"/>
      <c r="AR25" s="101"/>
      <c r="AS25" s="487"/>
      <c r="AT25" s="497"/>
      <c r="AU25" s="496">
        <v>0</v>
      </c>
      <c r="AV25" s="90"/>
      <c r="AW25" s="101"/>
      <c r="AX25" s="487"/>
      <c r="AY25" s="497"/>
      <c r="AZ25" s="496">
        <v>0</v>
      </c>
      <c r="BA25" s="90"/>
      <c r="BB25" s="101"/>
      <c r="BC25" s="487"/>
      <c r="BD25" s="497"/>
      <c r="BE25" s="496">
        <v>0</v>
      </c>
      <c r="BF25" s="90"/>
      <c r="BG25" s="101"/>
      <c r="BH25" s="487"/>
      <c r="BI25" s="497"/>
      <c r="BJ25" s="496">
        <v>0</v>
      </c>
      <c r="BK25" s="90"/>
      <c r="BL25" s="101"/>
      <c r="BM25" s="487"/>
      <c r="BN25" s="497"/>
      <c r="BO25" s="496">
        <v>0</v>
      </c>
      <c r="BP25" s="90"/>
      <c r="BQ25" s="101"/>
      <c r="BR25" s="487"/>
      <c r="BS25" s="497"/>
      <c r="BT25" s="496">
        <f>SUM(L25:BO25)</f>
        <v>0</v>
      </c>
      <c r="BU25" s="90"/>
      <c r="BV25" s="101"/>
      <c r="BW25" s="398"/>
    </row>
    <row r="26" spans="1:78" ht="12.75" x14ac:dyDescent="0.2">
      <c r="A26" s="388"/>
      <c r="B26" s="388"/>
      <c r="C26" s="388"/>
      <c r="D26" s="398"/>
      <c r="E26" s="404"/>
      <c r="F26" s="388"/>
      <c r="G26" s="101"/>
      <c r="H26" s="101"/>
      <c r="I26" s="101"/>
      <c r="J26" s="487"/>
      <c r="K26" s="101"/>
      <c r="L26" s="101"/>
      <c r="M26" s="101"/>
      <c r="N26" s="101"/>
      <c r="O26" s="487"/>
      <c r="P26" s="101"/>
      <c r="Q26" s="101"/>
      <c r="R26" s="101"/>
      <c r="S26" s="101"/>
      <c r="T26" s="487"/>
      <c r="U26" s="101"/>
      <c r="V26" s="101"/>
      <c r="W26" s="101"/>
      <c r="X26" s="101"/>
      <c r="Y26" s="487"/>
      <c r="Z26" s="101"/>
      <c r="AA26" s="101"/>
      <c r="AB26" s="101"/>
      <c r="AC26" s="101"/>
      <c r="AD26" s="487"/>
      <c r="AE26" s="101"/>
      <c r="AF26" s="101"/>
      <c r="AG26" s="101"/>
      <c r="AH26" s="101"/>
      <c r="AI26" s="487"/>
      <c r="AJ26" s="101"/>
      <c r="AK26" s="101"/>
      <c r="AL26" s="101"/>
      <c r="AM26" s="101"/>
      <c r="AN26" s="487"/>
      <c r="AO26" s="101"/>
      <c r="AP26" s="101"/>
      <c r="AQ26" s="101"/>
      <c r="AR26" s="101"/>
      <c r="AS26" s="487"/>
      <c r="AT26" s="101"/>
      <c r="AU26" s="101"/>
      <c r="AV26" s="101"/>
      <c r="AW26" s="101"/>
      <c r="AX26" s="487"/>
      <c r="AY26" s="101"/>
      <c r="AZ26" s="101"/>
      <c r="BA26" s="101"/>
      <c r="BB26" s="101"/>
      <c r="BC26" s="487"/>
      <c r="BD26" s="101"/>
      <c r="BE26" s="101"/>
      <c r="BF26" s="101"/>
      <c r="BG26" s="101"/>
      <c r="BH26" s="487"/>
      <c r="BI26" s="101"/>
      <c r="BJ26" s="101"/>
      <c r="BK26" s="101"/>
      <c r="BL26" s="101"/>
      <c r="BM26" s="487"/>
      <c r="BN26" s="101"/>
      <c r="BO26" s="101"/>
      <c r="BP26" s="101"/>
      <c r="BQ26" s="101"/>
      <c r="BR26" s="487"/>
      <c r="BS26" s="101"/>
      <c r="BT26" s="101"/>
      <c r="BU26" s="101"/>
      <c r="BV26" s="101"/>
      <c r="BW26" s="398"/>
    </row>
    <row r="27" spans="1:78" ht="12.75" x14ac:dyDescent="0.2">
      <c r="A27" s="388"/>
      <c r="B27" s="388"/>
      <c r="C27" s="388"/>
      <c r="D27" s="398" t="s">
        <v>476</v>
      </c>
      <c r="E27" s="404"/>
      <c r="F27" s="388"/>
      <c r="G27" s="101">
        <f>SUM(G28:G30)</f>
        <v>0</v>
      </c>
      <c r="H27" s="101"/>
      <c r="I27" s="101"/>
      <c r="J27" s="487"/>
      <c r="K27" s="101"/>
      <c r="L27" s="101">
        <f>L28+L30</f>
        <v>0</v>
      </c>
      <c r="M27" s="101"/>
      <c r="N27" s="101"/>
      <c r="O27" s="487"/>
      <c r="P27" s="101"/>
      <c r="Q27" s="101">
        <f>Q28+Q30</f>
        <v>0</v>
      </c>
      <c r="R27" s="101"/>
      <c r="S27" s="101"/>
      <c r="T27" s="487"/>
      <c r="U27" s="101"/>
      <c r="V27" s="101">
        <f>V28+V30</f>
        <v>0</v>
      </c>
      <c r="W27" s="101"/>
      <c r="X27" s="101"/>
      <c r="Y27" s="487"/>
      <c r="Z27" s="101"/>
      <c r="AA27" s="101">
        <f>AA28+AA30</f>
        <v>0</v>
      </c>
      <c r="AB27" s="101"/>
      <c r="AC27" s="101"/>
      <c r="AD27" s="487"/>
      <c r="AE27" s="101"/>
      <c r="AF27" s="101">
        <f>AF28+AF30</f>
        <v>0</v>
      </c>
      <c r="AG27" s="101"/>
      <c r="AH27" s="101"/>
      <c r="AI27" s="487"/>
      <c r="AJ27" s="101"/>
      <c r="AK27" s="101">
        <f>AK28+AK30</f>
        <v>0</v>
      </c>
      <c r="AL27" s="101"/>
      <c r="AM27" s="101"/>
      <c r="AN27" s="487"/>
      <c r="AO27" s="101"/>
      <c r="AP27" s="101">
        <f>AP28+AP30</f>
        <v>0</v>
      </c>
      <c r="AQ27" s="101"/>
      <c r="AR27" s="101"/>
      <c r="AS27" s="487"/>
      <c r="AT27" s="101"/>
      <c r="AU27" s="101">
        <f>AU28+AU30</f>
        <v>0</v>
      </c>
      <c r="AV27" s="101"/>
      <c r="AW27" s="101"/>
      <c r="AX27" s="487"/>
      <c r="AY27" s="101"/>
      <c r="AZ27" s="101">
        <f>AZ28+AZ30</f>
        <v>0</v>
      </c>
      <c r="BA27" s="101"/>
      <c r="BB27" s="101"/>
      <c r="BC27" s="487"/>
      <c r="BD27" s="101"/>
      <c r="BE27" s="101">
        <f>BE28+BE30</f>
        <v>0</v>
      </c>
      <c r="BF27" s="101"/>
      <c r="BG27" s="101"/>
      <c r="BH27" s="487"/>
      <c r="BI27" s="101"/>
      <c r="BJ27" s="101">
        <f>BJ28+BJ30</f>
        <v>0</v>
      </c>
      <c r="BK27" s="101"/>
      <c r="BL27" s="101"/>
      <c r="BM27" s="487"/>
      <c r="BN27" s="101"/>
      <c r="BO27" s="101">
        <f>BO28+BO30</f>
        <v>0</v>
      </c>
      <c r="BP27" s="101"/>
      <c r="BQ27" s="101"/>
      <c r="BR27" s="487"/>
      <c r="BS27" s="101"/>
      <c r="BT27" s="101">
        <f>SUM(BT28:BT30)</f>
        <v>0</v>
      </c>
      <c r="BU27" s="101"/>
      <c r="BV27" s="101"/>
      <c r="BW27" s="398"/>
    </row>
    <row r="28" spans="1:78" ht="12.75" x14ac:dyDescent="0.2">
      <c r="A28" s="388"/>
      <c r="B28" s="388"/>
      <c r="C28" s="388"/>
      <c r="D28" s="398" t="s">
        <v>373</v>
      </c>
      <c r="E28" s="404"/>
      <c r="F28" s="412"/>
      <c r="G28" s="485">
        <v>0</v>
      </c>
      <c r="H28" s="486"/>
      <c r="I28" s="101"/>
      <c r="J28" s="487"/>
      <c r="K28" s="488"/>
      <c r="L28" s="485">
        <v>0</v>
      </c>
      <c r="M28" s="486"/>
      <c r="N28" s="101"/>
      <c r="O28" s="487"/>
      <c r="P28" s="488"/>
      <c r="Q28" s="485">
        <v>0</v>
      </c>
      <c r="R28" s="486"/>
      <c r="S28" s="101"/>
      <c r="T28" s="487"/>
      <c r="U28" s="488"/>
      <c r="V28" s="485">
        <v>0</v>
      </c>
      <c r="W28" s="486"/>
      <c r="X28" s="101"/>
      <c r="Y28" s="487"/>
      <c r="Z28" s="488"/>
      <c r="AA28" s="485">
        <v>0</v>
      </c>
      <c r="AB28" s="486"/>
      <c r="AC28" s="101"/>
      <c r="AD28" s="487"/>
      <c r="AE28" s="488"/>
      <c r="AF28" s="485">
        <v>0</v>
      </c>
      <c r="AG28" s="486"/>
      <c r="AH28" s="101"/>
      <c r="AI28" s="487"/>
      <c r="AJ28" s="488"/>
      <c r="AK28" s="485">
        <v>0</v>
      </c>
      <c r="AL28" s="486"/>
      <c r="AM28" s="101"/>
      <c r="AN28" s="487"/>
      <c r="AO28" s="488"/>
      <c r="AP28" s="485">
        <v>0</v>
      </c>
      <c r="AQ28" s="486"/>
      <c r="AR28" s="101"/>
      <c r="AS28" s="487"/>
      <c r="AT28" s="488"/>
      <c r="AU28" s="485">
        <v>0</v>
      </c>
      <c r="AV28" s="486"/>
      <c r="AW28" s="101"/>
      <c r="AX28" s="487"/>
      <c r="AY28" s="488"/>
      <c r="AZ28" s="485">
        <v>0</v>
      </c>
      <c r="BA28" s="486"/>
      <c r="BB28" s="101"/>
      <c r="BC28" s="487"/>
      <c r="BD28" s="488"/>
      <c r="BE28" s="485">
        <v>0</v>
      </c>
      <c r="BF28" s="486"/>
      <c r="BG28" s="101"/>
      <c r="BH28" s="487"/>
      <c r="BI28" s="488"/>
      <c r="BJ28" s="485">
        <v>0</v>
      </c>
      <c r="BK28" s="486"/>
      <c r="BL28" s="101"/>
      <c r="BM28" s="487"/>
      <c r="BN28" s="488"/>
      <c r="BO28" s="485">
        <v>0</v>
      </c>
      <c r="BP28" s="486"/>
      <c r="BQ28" s="101"/>
      <c r="BR28" s="487"/>
      <c r="BS28" s="488"/>
      <c r="BT28" s="485">
        <f>SUM(L28:BO28)</f>
        <v>0</v>
      </c>
      <c r="BU28" s="486"/>
      <c r="BV28" s="101"/>
      <c r="BW28" s="398"/>
    </row>
    <row r="29" spans="1:78" ht="12.75" x14ac:dyDescent="0.2">
      <c r="A29" s="388"/>
      <c r="B29" s="388"/>
      <c r="C29" s="388"/>
      <c r="D29" s="398" t="s">
        <v>375</v>
      </c>
      <c r="E29" s="404"/>
      <c r="F29" s="404"/>
      <c r="G29" s="101">
        <v>0</v>
      </c>
      <c r="H29" s="49"/>
      <c r="I29" s="101"/>
      <c r="J29" s="487"/>
      <c r="K29" s="487"/>
      <c r="L29" s="101">
        <v>0</v>
      </c>
      <c r="M29" s="49"/>
      <c r="N29" s="101"/>
      <c r="O29" s="487"/>
      <c r="P29" s="487"/>
      <c r="Q29" s="101">
        <v>0</v>
      </c>
      <c r="R29" s="49"/>
      <c r="S29" s="101"/>
      <c r="T29" s="487"/>
      <c r="U29" s="487"/>
      <c r="V29" s="101">
        <v>0</v>
      </c>
      <c r="W29" s="49"/>
      <c r="X29" s="101"/>
      <c r="Y29" s="487"/>
      <c r="Z29" s="487"/>
      <c r="AA29" s="101">
        <v>0</v>
      </c>
      <c r="AB29" s="49"/>
      <c r="AC29" s="101"/>
      <c r="AD29" s="487"/>
      <c r="AE29" s="487"/>
      <c r="AF29" s="101">
        <v>0</v>
      </c>
      <c r="AG29" s="49"/>
      <c r="AH29" s="101"/>
      <c r="AI29" s="487"/>
      <c r="AJ29" s="487"/>
      <c r="AK29" s="101">
        <v>0</v>
      </c>
      <c r="AL29" s="49"/>
      <c r="AM29" s="101"/>
      <c r="AN29" s="487"/>
      <c r="AO29" s="487"/>
      <c r="AP29" s="101">
        <v>0</v>
      </c>
      <c r="AQ29" s="49"/>
      <c r="AR29" s="101"/>
      <c r="AS29" s="487"/>
      <c r="AT29" s="487"/>
      <c r="AU29" s="101">
        <v>0</v>
      </c>
      <c r="AV29" s="49"/>
      <c r="AW29" s="101"/>
      <c r="AX29" s="487"/>
      <c r="AY29" s="487"/>
      <c r="AZ29" s="101">
        <v>0</v>
      </c>
      <c r="BA29" s="49"/>
      <c r="BB29" s="101"/>
      <c r="BC29" s="487"/>
      <c r="BD29" s="487"/>
      <c r="BE29" s="101">
        <v>0</v>
      </c>
      <c r="BF29" s="49"/>
      <c r="BG29" s="101"/>
      <c r="BH29" s="487"/>
      <c r="BI29" s="487"/>
      <c r="BJ29" s="101">
        <v>0</v>
      </c>
      <c r="BK29" s="49"/>
      <c r="BL29" s="101"/>
      <c r="BM29" s="487"/>
      <c r="BN29" s="487"/>
      <c r="BO29" s="101">
        <v>0</v>
      </c>
      <c r="BP29" s="49"/>
      <c r="BQ29" s="101"/>
      <c r="BR29" s="487"/>
      <c r="BS29" s="487"/>
      <c r="BT29" s="101">
        <f>SUM(L29:BO29)</f>
        <v>0</v>
      </c>
      <c r="BU29" s="49"/>
      <c r="BV29" s="101"/>
      <c r="BW29" s="398"/>
    </row>
    <row r="30" spans="1:78" ht="12.75" x14ac:dyDescent="0.2">
      <c r="A30" s="388"/>
      <c r="B30" s="388"/>
      <c r="C30" s="388"/>
      <c r="D30" s="398" t="s">
        <v>383</v>
      </c>
      <c r="E30" s="404"/>
      <c r="F30" s="427"/>
      <c r="G30" s="496">
        <v>0</v>
      </c>
      <c r="H30" s="90"/>
      <c r="I30" s="101"/>
      <c r="J30" s="487"/>
      <c r="K30" s="497"/>
      <c r="L30" s="496">
        <v>0</v>
      </c>
      <c r="M30" s="90"/>
      <c r="N30" s="101"/>
      <c r="O30" s="487"/>
      <c r="P30" s="497"/>
      <c r="Q30" s="496">
        <v>0</v>
      </c>
      <c r="R30" s="90"/>
      <c r="S30" s="101"/>
      <c r="T30" s="487"/>
      <c r="U30" s="497"/>
      <c r="V30" s="496">
        <v>0</v>
      </c>
      <c r="W30" s="90"/>
      <c r="X30" s="101"/>
      <c r="Y30" s="487"/>
      <c r="Z30" s="497"/>
      <c r="AA30" s="496">
        <v>0</v>
      </c>
      <c r="AB30" s="90"/>
      <c r="AC30" s="101"/>
      <c r="AD30" s="487"/>
      <c r="AE30" s="497"/>
      <c r="AF30" s="496">
        <v>0</v>
      </c>
      <c r="AG30" s="90"/>
      <c r="AH30" s="101"/>
      <c r="AI30" s="487"/>
      <c r="AJ30" s="497"/>
      <c r="AK30" s="496">
        <v>0</v>
      </c>
      <c r="AL30" s="90"/>
      <c r="AM30" s="101"/>
      <c r="AN30" s="487"/>
      <c r="AO30" s="497"/>
      <c r="AP30" s="496">
        <v>0</v>
      </c>
      <c r="AQ30" s="90"/>
      <c r="AR30" s="101"/>
      <c r="AS30" s="487"/>
      <c r="AT30" s="497"/>
      <c r="AU30" s="496">
        <v>0</v>
      </c>
      <c r="AV30" s="90"/>
      <c r="AW30" s="101"/>
      <c r="AX30" s="487"/>
      <c r="AY30" s="497"/>
      <c r="AZ30" s="496">
        <v>0</v>
      </c>
      <c r="BA30" s="90"/>
      <c r="BB30" s="101"/>
      <c r="BC30" s="487"/>
      <c r="BD30" s="497"/>
      <c r="BE30" s="496">
        <v>0</v>
      </c>
      <c r="BF30" s="90"/>
      <c r="BG30" s="101"/>
      <c r="BH30" s="487"/>
      <c r="BI30" s="497"/>
      <c r="BJ30" s="496">
        <v>0</v>
      </c>
      <c r="BK30" s="90"/>
      <c r="BL30" s="101"/>
      <c r="BM30" s="487"/>
      <c r="BN30" s="497"/>
      <c r="BO30" s="496">
        <v>0</v>
      </c>
      <c r="BP30" s="90"/>
      <c r="BQ30" s="101"/>
      <c r="BR30" s="487"/>
      <c r="BS30" s="497"/>
      <c r="BT30" s="496">
        <f>SUM(L30:BO30)</f>
        <v>0</v>
      </c>
      <c r="BU30" s="90"/>
      <c r="BV30" s="101"/>
      <c r="BW30" s="398"/>
    </row>
    <row r="31" spans="1:78" ht="12.75" x14ac:dyDescent="0.2">
      <c r="A31" s="388"/>
      <c r="B31" s="388"/>
      <c r="C31" s="388"/>
      <c r="D31" s="398"/>
      <c r="E31" s="404"/>
      <c r="F31" s="388"/>
      <c r="G31" s="101"/>
      <c r="H31" s="101"/>
      <c r="I31" s="101"/>
      <c r="J31" s="487"/>
      <c r="K31" s="101"/>
      <c r="L31" s="101"/>
      <c r="M31" s="101"/>
      <c r="N31" s="101"/>
      <c r="O31" s="487"/>
      <c r="P31" s="101"/>
      <c r="Q31" s="101"/>
      <c r="R31" s="101"/>
      <c r="S31" s="101"/>
      <c r="T31" s="487"/>
      <c r="U31" s="101"/>
      <c r="V31" s="101"/>
      <c r="W31" s="101"/>
      <c r="X31" s="101"/>
      <c r="Y31" s="487"/>
      <c r="Z31" s="101"/>
      <c r="AA31" s="101"/>
      <c r="AB31" s="101"/>
      <c r="AC31" s="101"/>
      <c r="AD31" s="487"/>
      <c r="AE31" s="101"/>
      <c r="AF31" s="101"/>
      <c r="AG31" s="101"/>
      <c r="AH31" s="101"/>
      <c r="AI31" s="487"/>
      <c r="AJ31" s="101"/>
      <c r="AK31" s="101"/>
      <c r="AL31" s="101"/>
      <c r="AM31" s="101"/>
      <c r="AN31" s="487"/>
      <c r="AO31" s="101"/>
      <c r="AP31" s="101"/>
      <c r="AQ31" s="101"/>
      <c r="AR31" s="101"/>
      <c r="AS31" s="487"/>
      <c r="AT31" s="101"/>
      <c r="AU31" s="101"/>
      <c r="AV31" s="101"/>
      <c r="AW31" s="101"/>
      <c r="AX31" s="487"/>
      <c r="AY31" s="101"/>
      <c r="AZ31" s="101"/>
      <c r="BA31" s="101"/>
      <c r="BB31" s="101"/>
      <c r="BC31" s="487"/>
      <c r="BD31" s="101"/>
      <c r="BE31" s="101"/>
      <c r="BF31" s="101"/>
      <c r="BG31" s="101"/>
      <c r="BH31" s="487"/>
      <c r="BI31" s="101"/>
      <c r="BJ31" s="101"/>
      <c r="BK31" s="101"/>
      <c r="BL31" s="101"/>
      <c r="BM31" s="487"/>
      <c r="BN31" s="101"/>
      <c r="BO31" s="101"/>
      <c r="BP31" s="101"/>
      <c r="BQ31" s="101"/>
      <c r="BR31" s="487"/>
      <c r="BS31" s="101"/>
      <c r="BT31" s="101"/>
      <c r="BU31" s="101"/>
      <c r="BV31" s="101"/>
      <c r="BW31" s="398"/>
    </row>
    <row r="32" spans="1:78" ht="12.75" hidden="1" x14ac:dyDescent="0.2">
      <c r="A32" s="388"/>
      <c r="B32" s="388"/>
      <c r="C32" s="388"/>
      <c r="D32" s="398" t="s">
        <v>477</v>
      </c>
      <c r="E32" s="404"/>
      <c r="F32" s="388"/>
      <c r="G32" s="101">
        <v>0</v>
      </c>
      <c r="H32" s="101"/>
      <c r="I32" s="101"/>
      <c r="J32" s="487"/>
      <c r="K32" s="101"/>
      <c r="L32" s="101">
        <f>L33+L35</f>
        <v>0</v>
      </c>
      <c r="M32" s="101"/>
      <c r="N32" s="101"/>
      <c r="O32" s="487"/>
      <c r="P32" s="101"/>
      <c r="Q32" s="101">
        <f>Q33+Q35</f>
        <v>0</v>
      </c>
      <c r="R32" s="101"/>
      <c r="S32" s="101"/>
      <c r="T32" s="487"/>
      <c r="U32" s="101"/>
      <c r="V32" s="101">
        <f>V33+V35</f>
        <v>0</v>
      </c>
      <c r="W32" s="101"/>
      <c r="X32" s="101"/>
      <c r="Y32" s="487"/>
      <c r="Z32" s="101"/>
      <c r="AA32" s="101">
        <f>AA33+AA35</f>
        <v>0</v>
      </c>
      <c r="AB32" s="101"/>
      <c r="AC32" s="101"/>
      <c r="AD32" s="487"/>
      <c r="AE32" s="101"/>
      <c r="AF32" s="101">
        <f>AF33+AF35</f>
        <v>0</v>
      </c>
      <c r="AG32" s="101"/>
      <c r="AH32" s="101"/>
      <c r="AI32" s="487"/>
      <c r="AJ32" s="101"/>
      <c r="AK32" s="101">
        <f>AK33+AK35</f>
        <v>0</v>
      </c>
      <c r="AL32" s="101"/>
      <c r="AM32" s="101"/>
      <c r="AN32" s="487"/>
      <c r="AO32" s="101"/>
      <c r="AP32" s="101">
        <f>AP33+AP35</f>
        <v>0</v>
      </c>
      <c r="AQ32" s="101"/>
      <c r="AR32" s="101"/>
      <c r="AS32" s="487"/>
      <c r="AT32" s="101"/>
      <c r="AU32" s="101">
        <f>AU33+AU35</f>
        <v>0</v>
      </c>
      <c r="AV32" s="101"/>
      <c r="AW32" s="101"/>
      <c r="AX32" s="487"/>
      <c r="AY32" s="101"/>
      <c r="AZ32" s="101">
        <f>AZ33+AZ35</f>
        <v>0</v>
      </c>
      <c r="BA32" s="101"/>
      <c r="BB32" s="101"/>
      <c r="BC32" s="487"/>
      <c r="BD32" s="101"/>
      <c r="BE32" s="101">
        <f>BE33+BE35</f>
        <v>0</v>
      </c>
      <c r="BF32" s="101"/>
      <c r="BG32" s="101"/>
      <c r="BH32" s="487"/>
      <c r="BI32" s="101"/>
      <c r="BJ32" s="101">
        <f>BJ33+BJ35</f>
        <v>0</v>
      </c>
      <c r="BK32" s="101"/>
      <c r="BL32" s="101"/>
      <c r="BM32" s="487"/>
      <c r="BN32" s="101"/>
      <c r="BO32" s="101">
        <f>BO33+BO35</f>
        <v>0</v>
      </c>
      <c r="BP32" s="101"/>
      <c r="BQ32" s="101"/>
      <c r="BR32" s="487"/>
      <c r="BS32" s="101"/>
      <c r="BT32" s="101">
        <f>SUM(BT33:BT35)</f>
        <v>0</v>
      </c>
      <c r="BU32" s="101"/>
      <c r="BV32" s="101"/>
      <c r="BW32" s="398"/>
    </row>
    <row r="33" spans="1:75" ht="12.75" hidden="1" x14ac:dyDescent="0.2">
      <c r="A33" s="388"/>
      <c r="B33" s="388"/>
      <c r="C33" s="388"/>
      <c r="D33" s="398" t="s">
        <v>373</v>
      </c>
      <c r="E33" s="404"/>
      <c r="F33" s="412"/>
      <c r="G33" s="485">
        <v>0</v>
      </c>
      <c r="H33" s="486"/>
      <c r="I33" s="101"/>
      <c r="J33" s="487"/>
      <c r="K33" s="488"/>
      <c r="L33" s="485">
        <v>0</v>
      </c>
      <c r="M33" s="486"/>
      <c r="N33" s="101"/>
      <c r="O33" s="487"/>
      <c r="P33" s="488"/>
      <c r="Q33" s="485">
        <v>0</v>
      </c>
      <c r="R33" s="486"/>
      <c r="S33" s="101"/>
      <c r="T33" s="487"/>
      <c r="U33" s="488"/>
      <c r="V33" s="485">
        <v>0</v>
      </c>
      <c r="W33" s="486"/>
      <c r="X33" s="101"/>
      <c r="Y33" s="487"/>
      <c r="Z33" s="488"/>
      <c r="AA33" s="485">
        <v>0</v>
      </c>
      <c r="AB33" s="486"/>
      <c r="AC33" s="101"/>
      <c r="AD33" s="487"/>
      <c r="AE33" s="488"/>
      <c r="AF33" s="485">
        <v>0</v>
      </c>
      <c r="AG33" s="486"/>
      <c r="AH33" s="101"/>
      <c r="AI33" s="487"/>
      <c r="AJ33" s="488"/>
      <c r="AK33" s="485">
        <v>0</v>
      </c>
      <c r="AL33" s="486"/>
      <c r="AM33" s="101"/>
      <c r="AN33" s="487"/>
      <c r="AO33" s="488"/>
      <c r="AP33" s="485">
        <v>0</v>
      </c>
      <c r="AQ33" s="486"/>
      <c r="AR33" s="101"/>
      <c r="AS33" s="487"/>
      <c r="AT33" s="488"/>
      <c r="AU33" s="485">
        <v>0</v>
      </c>
      <c r="AV33" s="486"/>
      <c r="AW33" s="101"/>
      <c r="AX33" s="487"/>
      <c r="AY33" s="488"/>
      <c r="AZ33" s="485">
        <v>0</v>
      </c>
      <c r="BA33" s="486"/>
      <c r="BB33" s="101"/>
      <c r="BC33" s="487"/>
      <c r="BD33" s="488"/>
      <c r="BE33" s="485">
        <v>0</v>
      </c>
      <c r="BF33" s="486"/>
      <c r="BG33" s="101"/>
      <c r="BH33" s="487"/>
      <c r="BI33" s="488"/>
      <c r="BJ33" s="485">
        <v>0</v>
      </c>
      <c r="BK33" s="486"/>
      <c r="BL33" s="101"/>
      <c r="BM33" s="487"/>
      <c r="BN33" s="488"/>
      <c r="BO33" s="485">
        <v>0</v>
      </c>
      <c r="BP33" s="486"/>
      <c r="BQ33" s="101"/>
      <c r="BR33" s="487"/>
      <c r="BS33" s="488"/>
      <c r="BT33" s="485">
        <f>SUM(L33:BO33)</f>
        <v>0</v>
      </c>
      <c r="BU33" s="486"/>
      <c r="BV33" s="101"/>
      <c r="BW33" s="398"/>
    </row>
    <row r="34" spans="1:75" ht="12.75" hidden="1" x14ac:dyDescent="0.2">
      <c r="A34" s="388"/>
      <c r="B34" s="388"/>
      <c r="C34" s="388"/>
      <c r="D34" s="398" t="s">
        <v>375</v>
      </c>
      <c r="E34" s="404"/>
      <c r="F34" s="404"/>
      <c r="G34" s="101">
        <v>0</v>
      </c>
      <c r="H34" s="49"/>
      <c r="I34" s="101"/>
      <c r="J34" s="487"/>
      <c r="K34" s="487"/>
      <c r="L34" s="101">
        <v>0</v>
      </c>
      <c r="M34" s="49"/>
      <c r="N34" s="101"/>
      <c r="O34" s="487"/>
      <c r="P34" s="487"/>
      <c r="Q34" s="101">
        <v>0</v>
      </c>
      <c r="R34" s="49"/>
      <c r="S34" s="101"/>
      <c r="T34" s="487"/>
      <c r="U34" s="487"/>
      <c r="V34" s="101">
        <v>0</v>
      </c>
      <c r="W34" s="49"/>
      <c r="X34" s="101"/>
      <c r="Y34" s="487"/>
      <c r="Z34" s="487"/>
      <c r="AA34" s="101">
        <v>0</v>
      </c>
      <c r="AB34" s="49"/>
      <c r="AC34" s="101"/>
      <c r="AD34" s="487"/>
      <c r="AE34" s="487"/>
      <c r="AF34" s="101">
        <v>0</v>
      </c>
      <c r="AG34" s="49"/>
      <c r="AH34" s="101"/>
      <c r="AI34" s="487"/>
      <c r="AJ34" s="487"/>
      <c r="AK34" s="101">
        <v>0</v>
      </c>
      <c r="AL34" s="49"/>
      <c r="AM34" s="101"/>
      <c r="AN34" s="487"/>
      <c r="AO34" s="487"/>
      <c r="AP34" s="101">
        <v>0</v>
      </c>
      <c r="AQ34" s="49"/>
      <c r="AR34" s="101"/>
      <c r="AS34" s="487"/>
      <c r="AT34" s="487"/>
      <c r="AU34" s="101">
        <v>0</v>
      </c>
      <c r="AV34" s="49"/>
      <c r="AW34" s="101"/>
      <c r="AX34" s="487"/>
      <c r="AY34" s="487"/>
      <c r="AZ34" s="101">
        <v>0</v>
      </c>
      <c r="BA34" s="49"/>
      <c r="BB34" s="101"/>
      <c r="BC34" s="487"/>
      <c r="BD34" s="487"/>
      <c r="BE34" s="101">
        <v>0</v>
      </c>
      <c r="BF34" s="49"/>
      <c r="BG34" s="101"/>
      <c r="BH34" s="487"/>
      <c r="BI34" s="487"/>
      <c r="BJ34" s="101">
        <v>0</v>
      </c>
      <c r="BK34" s="49"/>
      <c r="BL34" s="101"/>
      <c r="BM34" s="487"/>
      <c r="BN34" s="487"/>
      <c r="BO34" s="101">
        <v>0</v>
      </c>
      <c r="BP34" s="49"/>
      <c r="BQ34" s="101"/>
      <c r="BR34" s="487"/>
      <c r="BS34" s="487"/>
      <c r="BT34" s="101">
        <f>SUM(L34:BO34)</f>
        <v>0</v>
      </c>
      <c r="BU34" s="49"/>
      <c r="BV34" s="101"/>
      <c r="BW34" s="398"/>
    </row>
    <row r="35" spans="1:75" ht="12.75" hidden="1" x14ac:dyDescent="0.2">
      <c r="A35" s="388"/>
      <c r="B35" s="388"/>
      <c r="C35" s="388"/>
      <c r="D35" s="398" t="s">
        <v>383</v>
      </c>
      <c r="E35" s="404"/>
      <c r="F35" s="427"/>
      <c r="G35" s="496">
        <v>0</v>
      </c>
      <c r="H35" s="90"/>
      <c r="I35" s="101"/>
      <c r="J35" s="487"/>
      <c r="K35" s="497"/>
      <c r="L35" s="496">
        <v>0</v>
      </c>
      <c r="M35" s="90"/>
      <c r="N35" s="101"/>
      <c r="O35" s="487"/>
      <c r="P35" s="497"/>
      <c r="Q35" s="496">
        <v>0</v>
      </c>
      <c r="R35" s="90"/>
      <c r="S35" s="101"/>
      <c r="T35" s="487"/>
      <c r="U35" s="497"/>
      <c r="V35" s="496">
        <v>0</v>
      </c>
      <c r="W35" s="90"/>
      <c r="X35" s="101"/>
      <c r="Y35" s="487"/>
      <c r="Z35" s="497"/>
      <c r="AA35" s="496">
        <v>0</v>
      </c>
      <c r="AB35" s="90"/>
      <c r="AC35" s="101"/>
      <c r="AD35" s="487"/>
      <c r="AE35" s="497"/>
      <c r="AF35" s="496">
        <v>0</v>
      </c>
      <c r="AG35" s="90"/>
      <c r="AH35" s="101"/>
      <c r="AI35" s="487"/>
      <c r="AJ35" s="497"/>
      <c r="AK35" s="496">
        <v>0</v>
      </c>
      <c r="AL35" s="90"/>
      <c r="AM35" s="101"/>
      <c r="AN35" s="487"/>
      <c r="AO35" s="497"/>
      <c r="AP35" s="496">
        <v>0</v>
      </c>
      <c r="AQ35" s="90"/>
      <c r="AR35" s="101"/>
      <c r="AS35" s="487"/>
      <c r="AT35" s="497"/>
      <c r="AU35" s="496">
        <v>0</v>
      </c>
      <c r="AV35" s="90"/>
      <c r="AW35" s="101"/>
      <c r="AX35" s="487"/>
      <c r="AY35" s="497"/>
      <c r="AZ35" s="496">
        <v>0</v>
      </c>
      <c r="BA35" s="90"/>
      <c r="BB35" s="101"/>
      <c r="BC35" s="487"/>
      <c r="BD35" s="497"/>
      <c r="BE35" s="496">
        <v>0</v>
      </c>
      <c r="BF35" s="90"/>
      <c r="BG35" s="101"/>
      <c r="BH35" s="487"/>
      <c r="BI35" s="497"/>
      <c r="BJ35" s="496">
        <v>0</v>
      </c>
      <c r="BK35" s="90"/>
      <c r="BL35" s="101"/>
      <c r="BM35" s="487"/>
      <c r="BN35" s="497"/>
      <c r="BO35" s="496">
        <v>0</v>
      </c>
      <c r="BP35" s="90"/>
      <c r="BQ35" s="101"/>
      <c r="BR35" s="487"/>
      <c r="BS35" s="497"/>
      <c r="BT35" s="496">
        <f>SUM(L35:BO35)</f>
        <v>0</v>
      </c>
      <c r="BU35" s="90"/>
      <c r="BV35" s="101"/>
      <c r="BW35" s="398"/>
    </row>
    <row r="36" spans="1:75" ht="12.75" hidden="1" x14ac:dyDescent="0.2">
      <c r="A36" s="388"/>
      <c r="B36" s="388"/>
      <c r="C36" s="388"/>
      <c r="D36" s="398"/>
      <c r="E36" s="404"/>
      <c r="F36" s="388"/>
      <c r="G36" s="101"/>
      <c r="H36" s="101"/>
      <c r="I36" s="101"/>
      <c r="J36" s="487"/>
      <c r="K36" s="101"/>
      <c r="L36" s="101"/>
      <c r="M36" s="101"/>
      <c r="N36" s="101"/>
      <c r="O36" s="487"/>
      <c r="P36" s="101"/>
      <c r="Q36" s="101"/>
      <c r="R36" s="101"/>
      <c r="S36" s="101"/>
      <c r="T36" s="487"/>
      <c r="U36" s="101"/>
      <c r="V36" s="101"/>
      <c r="W36" s="101"/>
      <c r="X36" s="101"/>
      <c r="Y36" s="487"/>
      <c r="Z36" s="101"/>
      <c r="AA36" s="101"/>
      <c r="AB36" s="101"/>
      <c r="AC36" s="101"/>
      <c r="AD36" s="487"/>
      <c r="AE36" s="101"/>
      <c r="AF36" s="101"/>
      <c r="AG36" s="101"/>
      <c r="AH36" s="101"/>
      <c r="AI36" s="487"/>
      <c r="AJ36" s="101"/>
      <c r="AK36" s="101"/>
      <c r="AL36" s="101"/>
      <c r="AM36" s="101"/>
      <c r="AN36" s="487"/>
      <c r="AO36" s="101"/>
      <c r="AP36" s="101"/>
      <c r="AQ36" s="101"/>
      <c r="AR36" s="101"/>
      <c r="AS36" s="487"/>
      <c r="AT36" s="101"/>
      <c r="AU36" s="101"/>
      <c r="AV36" s="101"/>
      <c r="AW36" s="101"/>
      <c r="AX36" s="487"/>
      <c r="AY36" s="101"/>
      <c r="AZ36" s="101"/>
      <c r="BA36" s="101"/>
      <c r="BB36" s="101"/>
      <c r="BC36" s="487"/>
      <c r="BD36" s="101"/>
      <c r="BE36" s="101"/>
      <c r="BF36" s="101"/>
      <c r="BG36" s="101"/>
      <c r="BH36" s="487"/>
      <c r="BI36" s="101"/>
      <c r="BJ36" s="101"/>
      <c r="BK36" s="101"/>
      <c r="BL36" s="101"/>
      <c r="BM36" s="487"/>
      <c r="BN36" s="101"/>
      <c r="BO36" s="101"/>
      <c r="BP36" s="101"/>
      <c r="BQ36" s="101"/>
      <c r="BR36" s="487"/>
      <c r="BS36" s="101"/>
      <c r="BT36" s="101"/>
      <c r="BU36" s="101"/>
      <c r="BV36" s="101"/>
      <c r="BW36" s="398"/>
    </row>
    <row r="37" spans="1:75" ht="12.75" x14ac:dyDescent="0.2">
      <c r="A37" s="388"/>
      <c r="B37" s="388"/>
      <c r="C37" s="388"/>
      <c r="D37" s="398" t="s">
        <v>478</v>
      </c>
      <c r="E37" s="404"/>
      <c r="F37" s="388"/>
      <c r="G37" s="101">
        <v>0</v>
      </c>
      <c r="H37" s="101"/>
      <c r="I37" s="101"/>
      <c r="J37" s="487"/>
      <c r="K37" s="101"/>
      <c r="L37" s="101">
        <f>L38+L40</f>
        <v>0</v>
      </c>
      <c r="M37" s="101"/>
      <c r="N37" s="101"/>
      <c r="O37" s="487"/>
      <c r="P37" s="101"/>
      <c r="Q37" s="101">
        <f>SUM(Q38:Q40)</f>
        <v>0</v>
      </c>
      <c r="R37" s="101"/>
      <c r="S37" s="101"/>
      <c r="T37" s="487"/>
      <c r="U37" s="101"/>
      <c r="V37" s="101">
        <f>V38+V40</f>
        <v>0</v>
      </c>
      <c r="W37" s="101"/>
      <c r="X37" s="101"/>
      <c r="Y37" s="487"/>
      <c r="Z37" s="101"/>
      <c r="AA37" s="101">
        <f>AA38+AA40</f>
        <v>16390000</v>
      </c>
      <c r="AB37" s="101"/>
      <c r="AC37" s="101"/>
      <c r="AD37" s="487"/>
      <c r="AE37" s="101"/>
      <c r="AF37" s="101">
        <f>AF38+AF40</f>
        <v>0</v>
      </c>
      <c r="AG37" s="101"/>
      <c r="AH37" s="101"/>
      <c r="AI37" s="487"/>
      <c r="AJ37" s="101"/>
      <c r="AK37" s="101">
        <f>AK38+AK40</f>
        <v>0</v>
      </c>
      <c r="AL37" s="101"/>
      <c r="AM37" s="101"/>
      <c r="AN37" s="487"/>
      <c r="AO37" s="101"/>
      <c r="AP37" s="101">
        <f>AP38+AP40</f>
        <v>0</v>
      </c>
      <c r="AQ37" s="101"/>
      <c r="AR37" s="101"/>
      <c r="AS37" s="487"/>
      <c r="AT37" s="101"/>
      <c r="AU37" s="101">
        <f>AU38+AU40</f>
        <v>0</v>
      </c>
      <c r="AV37" s="101"/>
      <c r="AW37" s="101"/>
      <c r="AX37" s="487"/>
      <c r="AY37" s="101"/>
      <c r="AZ37" s="101">
        <f>AZ38+AZ40</f>
        <v>0</v>
      </c>
      <c r="BA37" s="101"/>
      <c r="BB37" s="101"/>
      <c r="BC37" s="487"/>
      <c r="BD37" s="101"/>
      <c r="BE37" s="101">
        <f>BE38+BE40</f>
        <v>0</v>
      </c>
      <c r="BF37" s="101"/>
      <c r="BG37" s="101"/>
      <c r="BH37" s="487"/>
      <c r="BI37" s="101"/>
      <c r="BJ37" s="101">
        <f>BJ38+BJ40</f>
        <v>0</v>
      </c>
      <c r="BK37" s="101"/>
      <c r="BL37" s="101"/>
      <c r="BM37" s="487"/>
      <c r="BN37" s="101"/>
      <c r="BO37" s="101">
        <f>BO38+BO40</f>
        <v>0</v>
      </c>
      <c r="BP37" s="101"/>
      <c r="BQ37" s="101"/>
      <c r="BR37" s="487"/>
      <c r="BS37" s="101"/>
      <c r="BT37" s="101">
        <f>SUM(BT38:BT40)</f>
        <v>16390000</v>
      </c>
      <c r="BU37" s="101"/>
      <c r="BV37" s="101"/>
      <c r="BW37" s="398"/>
    </row>
    <row r="38" spans="1:75" ht="12.75" x14ac:dyDescent="0.2">
      <c r="A38" s="388"/>
      <c r="B38" s="388"/>
      <c r="C38" s="388"/>
      <c r="D38" s="398" t="s">
        <v>373</v>
      </c>
      <c r="E38" s="404"/>
      <c r="F38" s="412"/>
      <c r="G38" s="485">
        <v>0</v>
      </c>
      <c r="H38" s="486"/>
      <c r="I38" s="101"/>
      <c r="J38" s="487"/>
      <c r="K38" s="488"/>
      <c r="L38" s="485">
        <v>0</v>
      </c>
      <c r="M38" s="486"/>
      <c r="N38" s="101"/>
      <c r="O38" s="487"/>
      <c r="P38" s="488"/>
      <c r="Q38" s="485">
        <v>0</v>
      </c>
      <c r="R38" s="486"/>
      <c r="S38" s="101"/>
      <c r="T38" s="487"/>
      <c r="U38" s="488"/>
      <c r="V38" s="485">
        <v>0</v>
      </c>
      <c r="W38" s="486"/>
      <c r="X38" s="101"/>
      <c r="Y38" s="487"/>
      <c r="Z38" s="488"/>
      <c r="AA38" s="485">
        <v>16390000</v>
      </c>
      <c r="AB38" s="486"/>
      <c r="AC38" s="101"/>
      <c r="AD38" s="487"/>
      <c r="AE38" s="488"/>
      <c r="AF38" s="485">
        <v>0</v>
      </c>
      <c r="AG38" s="486"/>
      <c r="AH38" s="101"/>
      <c r="AI38" s="487"/>
      <c r="AJ38" s="488"/>
      <c r="AK38" s="485">
        <v>0</v>
      </c>
      <c r="AL38" s="486"/>
      <c r="AM38" s="101"/>
      <c r="AN38" s="487"/>
      <c r="AO38" s="488"/>
      <c r="AP38" s="485">
        <v>0</v>
      </c>
      <c r="AQ38" s="486"/>
      <c r="AR38" s="101"/>
      <c r="AS38" s="487"/>
      <c r="AT38" s="488"/>
      <c r="AU38" s="485">
        <v>0</v>
      </c>
      <c r="AV38" s="486"/>
      <c r="AW38" s="101"/>
      <c r="AX38" s="487"/>
      <c r="AY38" s="488"/>
      <c r="AZ38" s="485">
        <v>0</v>
      </c>
      <c r="BA38" s="486"/>
      <c r="BB38" s="101"/>
      <c r="BC38" s="487"/>
      <c r="BD38" s="488"/>
      <c r="BE38" s="485">
        <v>0</v>
      </c>
      <c r="BF38" s="486"/>
      <c r="BG38" s="101"/>
      <c r="BH38" s="487"/>
      <c r="BI38" s="488"/>
      <c r="BJ38" s="485">
        <v>0</v>
      </c>
      <c r="BK38" s="486"/>
      <c r="BL38" s="101"/>
      <c r="BM38" s="487"/>
      <c r="BN38" s="488"/>
      <c r="BO38" s="485">
        <v>0</v>
      </c>
      <c r="BP38" s="486"/>
      <c r="BQ38" s="101"/>
      <c r="BR38" s="487"/>
      <c r="BS38" s="488"/>
      <c r="BT38" s="485">
        <f>SUM(L38:BO38)</f>
        <v>16390000</v>
      </c>
      <c r="BU38" s="486"/>
      <c r="BV38" s="101"/>
      <c r="BW38" s="398"/>
    </row>
    <row r="39" spans="1:75" x14ac:dyDescent="0.3">
      <c r="A39" s="388"/>
      <c r="B39" s="388"/>
      <c r="C39" s="388"/>
      <c r="D39" s="398" t="s">
        <v>375</v>
      </c>
      <c r="E39" s="404"/>
      <c r="F39" s="404"/>
      <c r="G39" s="101">
        <v>0</v>
      </c>
      <c r="H39" s="49"/>
      <c r="I39" s="101"/>
      <c r="J39" s="487"/>
      <c r="K39" s="487"/>
      <c r="L39" s="101">
        <v>0</v>
      </c>
      <c r="M39" s="49"/>
      <c r="N39" s="101"/>
      <c r="O39" s="487"/>
      <c r="P39" s="487"/>
      <c r="Q39" s="101">
        <v>0</v>
      </c>
      <c r="R39" s="49"/>
      <c r="S39" s="101"/>
      <c r="T39" s="487"/>
      <c r="U39" s="487"/>
      <c r="V39" s="101">
        <v>0</v>
      </c>
      <c r="W39" s="49"/>
      <c r="X39" s="101"/>
      <c r="Y39" s="487"/>
      <c r="Z39" s="487"/>
      <c r="AA39" s="101">
        <v>0</v>
      </c>
      <c r="AB39" s="49"/>
      <c r="AC39" s="101"/>
      <c r="AD39" s="487"/>
      <c r="AE39" s="487"/>
      <c r="AF39" s="101">
        <v>0</v>
      </c>
      <c r="AG39" s="49"/>
      <c r="AH39" s="101"/>
      <c r="AI39" s="487"/>
      <c r="AJ39" s="487"/>
      <c r="AK39" s="101">
        <v>0</v>
      </c>
      <c r="AL39" s="49"/>
      <c r="AM39" s="101"/>
      <c r="AN39" s="487"/>
      <c r="AO39" s="487"/>
      <c r="AP39" s="101">
        <v>0</v>
      </c>
      <c r="AQ39" s="49"/>
      <c r="AR39" s="101"/>
      <c r="AS39" s="487"/>
      <c r="AT39" s="487"/>
      <c r="AU39" s="101">
        <v>0</v>
      </c>
      <c r="AV39" s="49"/>
      <c r="AW39" s="101"/>
      <c r="AX39" s="487"/>
      <c r="AY39" s="487"/>
      <c r="AZ39" s="101">
        <v>0</v>
      </c>
      <c r="BA39" s="49"/>
      <c r="BB39" s="101"/>
      <c r="BC39" s="487"/>
      <c r="BD39" s="487"/>
      <c r="BE39" s="101">
        <v>0</v>
      </c>
      <c r="BF39" s="49"/>
      <c r="BG39" s="101"/>
      <c r="BH39" s="487"/>
      <c r="BI39" s="487"/>
      <c r="BJ39" s="101">
        <v>0</v>
      </c>
      <c r="BK39" s="49"/>
      <c r="BL39" s="101"/>
      <c r="BM39" s="487"/>
      <c r="BN39" s="487"/>
      <c r="BO39" s="101">
        <v>0</v>
      </c>
      <c r="BP39" s="49"/>
      <c r="BQ39" s="101"/>
      <c r="BR39" s="487"/>
      <c r="BS39" s="487"/>
      <c r="BT39" s="101">
        <f>SUM(L39:BO39)</f>
        <v>0</v>
      </c>
      <c r="BU39" s="49"/>
      <c r="BV39" s="101"/>
      <c r="BW39" s="398"/>
    </row>
    <row r="40" spans="1:75" x14ac:dyDescent="0.3">
      <c r="A40" s="388"/>
      <c r="B40" s="388"/>
      <c r="C40" s="388"/>
      <c r="D40" s="398" t="s">
        <v>383</v>
      </c>
      <c r="E40" s="404"/>
      <c r="F40" s="427"/>
      <c r="G40" s="496">
        <v>0</v>
      </c>
      <c r="H40" s="90"/>
      <c r="I40" s="101"/>
      <c r="J40" s="487"/>
      <c r="K40" s="497"/>
      <c r="L40" s="496">
        <v>0</v>
      </c>
      <c r="M40" s="90"/>
      <c r="N40" s="101"/>
      <c r="O40" s="487"/>
      <c r="P40" s="497"/>
      <c r="Q40" s="496">
        <v>0</v>
      </c>
      <c r="R40" s="90"/>
      <c r="S40" s="101"/>
      <c r="T40" s="487"/>
      <c r="U40" s="497"/>
      <c r="V40" s="496">
        <v>0</v>
      </c>
      <c r="W40" s="90"/>
      <c r="X40" s="101"/>
      <c r="Y40" s="487"/>
      <c r="Z40" s="497"/>
      <c r="AA40" s="496">
        <v>0</v>
      </c>
      <c r="AB40" s="90"/>
      <c r="AC40" s="101"/>
      <c r="AD40" s="487"/>
      <c r="AE40" s="497"/>
      <c r="AF40" s="496">
        <v>0</v>
      </c>
      <c r="AG40" s="90"/>
      <c r="AH40" s="101"/>
      <c r="AI40" s="487"/>
      <c r="AJ40" s="497"/>
      <c r="AK40" s="496">
        <v>0</v>
      </c>
      <c r="AL40" s="90"/>
      <c r="AM40" s="101"/>
      <c r="AN40" s="487"/>
      <c r="AO40" s="497"/>
      <c r="AP40" s="496">
        <v>0</v>
      </c>
      <c r="AQ40" s="90"/>
      <c r="AR40" s="101"/>
      <c r="AS40" s="487"/>
      <c r="AT40" s="497"/>
      <c r="AU40" s="496">
        <v>0</v>
      </c>
      <c r="AV40" s="90"/>
      <c r="AW40" s="101"/>
      <c r="AX40" s="487"/>
      <c r="AY40" s="497"/>
      <c r="AZ40" s="496">
        <v>0</v>
      </c>
      <c r="BA40" s="90"/>
      <c r="BB40" s="101"/>
      <c r="BC40" s="487"/>
      <c r="BD40" s="497"/>
      <c r="BE40" s="496">
        <v>0</v>
      </c>
      <c r="BF40" s="90"/>
      <c r="BG40" s="101"/>
      <c r="BH40" s="487"/>
      <c r="BI40" s="497"/>
      <c r="BJ40" s="496">
        <v>0</v>
      </c>
      <c r="BK40" s="90"/>
      <c r="BL40" s="101"/>
      <c r="BM40" s="487"/>
      <c r="BN40" s="497"/>
      <c r="BO40" s="496">
        <v>0</v>
      </c>
      <c r="BP40" s="90"/>
      <c r="BQ40" s="101"/>
      <c r="BR40" s="487"/>
      <c r="BS40" s="497"/>
      <c r="BT40" s="496">
        <f>SUM(L40:BO40)</f>
        <v>0</v>
      </c>
      <c r="BU40" s="90"/>
      <c r="BV40" s="101"/>
      <c r="BW40" s="398"/>
    </row>
    <row r="41" spans="1:75" ht="12.75" customHeight="1" x14ac:dyDescent="0.3">
      <c r="A41" s="388"/>
      <c r="B41" s="388"/>
      <c r="C41" s="388"/>
      <c r="D41" s="528"/>
      <c r="E41" s="529"/>
      <c r="F41" s="530"/>
      <c r="G41" s="101"/>
      <c r="H41" s="101"/>
      <c r="I41" s="101"/>
      <c r="J41" s="487"/>
      <c r="K41" s="101"/>
      <c r="L41" s="101"/>
      <c r="M41" s="101"/>
      <c r="N41" s="101"/>
      <c r="O41" s="487"/>
      <c r="P41" s="101"/>
      <c r="Q41" s="101"/>
      <c r="R41" s="101"/>
      <c r="S41" s="101"/>
      <c r="T41" s="487"/>
      <c r="U41" s="101"/>
      <c r="V41" s="101"/>
      <c r="W41" s="101"/>
      <c r="X41" s="101"/>
      <c r="Y41" s="487"/>
      <c r="Z41" s="101"/>
      <c r="AA41" s="101"/>
      <c r="AB41" s="101"/>
      <c r="AC41" s="101"/>
      <c r="AD41" s="487"/>
      <c r="AE41" s="101"/>
      <c r="AF41" s="101"/>
      <c r="AG41" s="101"/>
      <c r="AH41" s="101"/>
      <c r="AI41" s="487"/>
      <c r="AJ41" s="101"/>
      <c r="AK41" s="101"/>
      <c r="AL41" s="101"/>
      <c r="AM41" s="101"/>
      <c r="AN41" s="487"/>
      <c r="AO41" s="101"/>
      <c r="AP41" s="101"/>
      <c r="AQ41" s="101"/>
      <c r="AR41" s="101"/>
      <c r="AS41" s="487"/>
      <c r="AT41" s="101"/>
      <c r="AU41" s="101"/>
      <c r="AV41" s="101"/>
      <c r="AW41" s="101"/>
      <c r="AX41" s="487"/>
      <c r="AY41" s="101"/>
      <c r="AZ41" s="101"/>
      <c r="BA41" s="101"/>
      <c r="BB41" s="101"/>
      <c r="BC41" s="487"/>
      <c r="BD41" s="101"/>
      <c r="BE41" s="101"/>
      <c r="BF41" s="101"/>
      <c r="BG41" s="101"/>
      <c r="BH41" s="487"/>
      <c r="BI41" s="101"/>
      <c r="BJ41" s="101"/>
      <c r="BK41" s="101"/>
      <c r="BL41" s="101"/>
      <c r="BM41" s="487"/>
      <c r="BN41" s="101"/>
      <c r="BO41" s="101"/>
      <c r="BP41" s="101"/>
      <c r="BQ41" s="101"/>
      <c r="BR41" s="487"/>
      <c r="BS41" s="101"/>
      <c r="BT41" s="101"/>
      <c r="BU41" s="101"/>
      <c r="BV41" s="101"/>
      <c r="BW41" s="398"/>
    </row>
    <row r="42" spans="1:75" ht="12.75" customHeight="1" x14ac:dyDescent="0.3">
      <c r="A42" s="388"/>
      <c r="B42" s="388"/>
      <c r="C42" s="388"/>
      <c r="D42" s="398" t="s">
        <v>479</v>
      </c>
      <c r="E42" s="404"/>
      <c r="F42" s="388"/>
      <c r="G42" s="101">
        <v>0</v>
      </c>
      <c r="H42" s="101"/>
      <c r="I42" s="101"/>
      <c r="J42" s="487"/>
      <c r="K42" s="101"/>
      <c r="L42" s="101">
        <f>L43+L45</f>
        <v>0</v>
      </c>
      <c r="M42" s="101"/>
      <c r="N42" s="101"/>
      <c r="O42" s="487"/>
      <c r="P42" s="101"/>
      <c r="Q42" s="101">
        <f>SUM(Q43:Q45)</f>
        <v>0</v>
      </c>
      <c r="R42" s="101"/>
      <c r="S42" s="101"/>
      <c r="T42" s="487"/>
      <c r="U42" s="101"/>
      <c r="V42" s="101">
        <f>V43+V45</f>
        <v>0</v>
      </c>
      <c r="W42" s="101"/>
      <c r="X42" s="101"/>
      <c r="Y42" s="487"/>
      <c r="Z42" s="101"/>
      <c r="AA42" s="101">
        <f>AA43+AA45</f>
        <v>70521584</v>
      </c>
      <c r="AB42" s="101"/>
      <c r="AC42" s="101"/>
      <c r="AD42" s="487"/>
      <c r="AE42" s="101"/>
      <c r="AF42" s="101">
        <f>AF43+AF45</f>
        <v>0</v>
      </c>
      <c r="AG42" s="101"/>
      <c r="AH42" s="101"/>
      <c r="AI42" s="487"/>
      <c r="AJ42" s="101"/>
      <c r="AK42" s="101">
        <f>AK43+AK45</f>
        <v>0</v>
      </c>
      <c r="AL42" s="101"/>
      <c r="AM42" s="101"/>
      <c r="AN42" s="487"/>
      <c r="AO42" s="101"/>
      <c r="AP42" s="101">
        <f>AP43+AP45</f>
        <v>0</v>
      </c>
      <c r="AQ42" s="101"/>
      <c r="AR42" s="101"/>
      <c r="AS42" s="487"/>
      <c r="AT42" s="101"/>
      <c r="AU42" s="101">
        <f>AU43+AU45</f>
        <v>0</v>
      </c>
      <c r="AV42" s="101"/>
      <c r="AW42" s="101"/>
      <c r="AX42" s="487"/>
      <c r="AY42" s="101"/>
      <c r="AZ42" s="101">
        <f>AZ43+AZ45</f>
        <v>0</v>
      </c>
      <c r="BA42" s="101"/>
      <c r="BB42" s="101"/>
      <c r="BC42" s="487"/>
      <c r="BD42" s="101"/>
      <c r="BE42" s="101">
        <f>BE43+BE45</f>
        <v>0</v>
      </c>
      <c r="BF42" s="101"/>
      <c r="BG42" s="101"/>
      <c r="BH42" s="487"/>
      <c r="BI42" s="101"/>
      <c r="BJ42" s="101">
        <f>BJ43+BJ45</f>
        <v>0</v>
      </c>
      <c r="BK42" s="101"/>
      <c r="BL42" s="101"/>
      <c r="BM42" s="487"/>
      <c r="BN42" s="101"/>
      <c r="BO42" s="101">
        <f>BO43+BO45</f>
        <v>0</v>
      </c>
      <c r="BP42" s="101"/>
      <c r="BQ42" s="101"/>
      <c r="BR42" s="487"/>
      <c r="BS42" s="101"/>
      <c r="BT42" s="101">
        <f>SUM(BT43:BT45)</f>
        <v>70521584</v>
      </c>
      <c r="BU42" s="101"/>
      <c r="BV42" s="101"/>
      <c r="BW42" s="398"/>
    </row>
    <row r="43" spans="1:75" ht="12.75" customHeight="1" x14ac:dyDescent="0.3">
      <c r="A43" s="388"/>
      <c r="B43" s="388"/>
      <c r="C43" s="388"/>
      <c r="D43" s="398" t="s">
        <v>373</v>
      </c>
      <c r="E43" s="404"/>
      <c r="F43" s="412"/>
      <c r="G43" s="485">
        <v>0</v>
      </c>
      <c r="H43" s="486"/>
      <c r="I43" s="101"/>
      <c r="J43" s="487"/>
      <c r="K43" s="488"/>
      <c r="L43" s="485">
        <v>0</v>
      </c>
      <c r="M43" s="486"/>
      <c r="N43" s="101"/>
      <c r="O43" s="487"/>
      <c r="P43" s="488"/>
      <c r="Q43" s="485">
        <v>0</v>
      </c>
      <c r="R43" s="486"/>
      <c r="S43" s="101"/>
      <c r="T43" s="487"/>
      <c r="U43" s="488"/>
      <c r="V43" s="485">
        <v>0</v>
      </c>
      <c r="W43" s="486"/>
      <c r="X43" s="101"/>
      <c r="Y43" s="487"/>
      <c r="Z43" s="488"/>
      <c r="AA43" s="485">
        <v>70521584</v>
      </c>
      <c r="AB43" s="486"/>
      <c r="AC43" s="101"/>
      <c r="AD43" s="487"/>
      <c r="AE43" s="488"/>
      <c r="AF43" s="485">
        <v>0</v>
      </c>
      <c r="AG43" s="486"/>
      <c r="AH43" s="101"/>
      <c r="AI43" s="487"/>
      <c r="AJ43" s="488"/>
      <c r="AK43" s="485">
        <v>0</v>
      </c>
      <c r="AL43" s="486"/>
      <c r="AM43" s="101"/>
      <c r="AN43" s="487"/>
      <c r="AO43" s="488"/>
      <c r="AP43" s="485">
        <v>0</v>
      </c>
      <c r="AQ43" s="486"/>
      <c r="AR43" s="101"/>
      <c r="AS43" s="487"/>
      <c r="AT43" s="488"/>
      <c r="AU43" s="485">
        <v>0</v>
      </c>
      <c r="AV43" s="486"/>
      <c r="AW43" s="101"/>
      <c r="AX43" s="487"/>
      <c r="AY43" s="488"/>
      <c r="AZ43" s="485">
        <v>0</v>
      </c>
      <c r="BA43" s="486"/>
      <c r="BB43" s="101"/>
      <c r="BC43" s="487"/>
      <c r="BD43" s="488"/>
      <c r="BE43" s="485">
        <v>0</v>
      </c>
      <c r="BF43" s="486"/>
      <c r="BG43" s="101"/>
      <c r="BH43" s="487"/>
      <c r="BI43" s="488"/>
      <c r="BJ43" s="485">
        <v>0</v>
      </c>
      <c r="BK43" s="486"/>
      <c r="BL43" s="101"/>
      <c r="BM43" s="487"/>
      <c r="BN43" s="488"/>
      <c r="BO43" s="485">
        <v>0</v>
      </c>
      <c r="BP43" s="486"/>
      <c r="BQ43" s="101"/>
      <c r="BR43" s="487"/>
      <c r="BS43" s="488"/>
      <c r="BT43" s="485">
        <f>SUM(L43:BO43)</f>
        <v>70521584</v>
      </c>
      <c r="BU43" s="486"/>
      <c r="BV43" s="101"/>
      <c r="BW43" s="398"/>
    </row>
    <row r="44" spans="1:75" ht="12.75" customHeight="1" x14ac:dyDescent="0.3">
      <c r="A44" s="388"/>
      <c r="B44" s="388"/>
      <c r="C44" s="388"/>
      <c r="D44" s="398" t="s">
        <v>375</v>
      </c>
      <c r="E44" s="404"/>
      <c r="F44" s="404"/>
      <c r="G44" s="101">
        <v>0</v>
      </c>
      <c r="H44" s="49"/>
      <c r="I44" s="101"/>
      <c r="J44" s="487"/>
      <c r="K44" s="487"/>
      <c r="L44" s="101">
        <v>0</v>
      </c>
      <c r="M44" s="49"/>
      <c r="N44" s="101"/>
      <c r="O44" s="487"/>
      <c r="P44" s="487"/>
      <c r="Q44" s="101">
        <v>0</v>
      </c>
      <c r="R44" s="49"/>
      <c r="S44" s="101"/>
      <c r="T44" s="487"/>
      <c r="U44" s="487"/>
      <c r="V44" s="101">
        <v>0</v>
      </c>
      <c r="W44" s="49"/>
      <c r="X44" s="101"/>
      <c r="Y44" s="487"/>
      <c r="Z44" s="487"/>
      <c r="AA44" s="101">
        <v>0</v>
      </c>
      <c r="AB44" s="49"/>
      <c r="AC44" s="101"/>
      <c r="AD44" s="487"/>
      <c r="AE44" s="487"/>
      <c r="AF44" s="101">
        <v>0</v>
      </c>
      <c r="AG44" s="49"/>
      <c r="AH44" s="101"/>
      <c r="AI44" s="487"/>
      <c r="AJ44" s="487"/>
      <c r="AK44" s="101">
        <v>0</v>
      </c>
      <c r="AL44" s="49"/>
      <c r="AM44" s="101"/>
      <c r="AN44" s="487"/>
      <c r="AO44" s="487"/>
      <c r="AP44" s="101">
        <v>0</v>
      </c>
      <c r="AQ44" s="49"/>
      <c r="AR44" s="101"/>
      <c r="AS44" s="487"/>
      <c r="AT44" s="487"/>
      <c r="AU44" s="101">
        <v>0</v>
      </c>
      <c r="AV44" s="49"/>
      <c r="AW44" s="101"/>
      <c r="AX44" s="487"/>
      <c r="AY44" s="487"/>
      <c r="AZ44" s="101">
        <v>0</v>
      </c>
      <c r="BA44" s="49"/>
      <c r="BB44" s="101"/>
      <c r="BC44" s="487"/>
      <c r="BD44" s="487"/>
      <c r="BE44" s="101">
        <v>0</v>
      </c>
      <c r="BF44" s="49"/>
      <c r="BG44" s="101"/>
      <c r="BH44" s="487"/>
      <c r="BI44" s="487"/>
      <c r="BJ44" s="101">
        <v>0</v>
      </c>
      <c r="BK44" s="49"/>
      <c r="BL44" s="101"/>
      <c r="BM44" s="487"/>
      <c r="BN44" s="487"/>
      <c r="BO44" s="101">
        <v>0</v>
      </c>
      <c r="BP44" s="49"/>
      <c r="BQ44" s="101"/>
      <c r="BR44" s="487"/>
      <c r="BS44" s="487"/>
      <c r="BT44" s="101">
        <f>SUM(L44:BO44)</f>
        <v>0</v>
      </c>
      <c r="BU44" s="49"/>
      <c r="BV44" s="101"/>
      <c r="BW44" s="398"/>
    </row>
    <row r="45" spans="1:75" ht="12.75" customHeight="1" x14ac:dyDescent="0.3">
      <c r="A45" s="388"/>
      <c r="B45" s="388"/>
      <c r="C45" s="388"/>
      <c r="D45" s="398" t="s">
        <v>383</v>
      </c>
      <c r="E45" s="404"/>
      <c r="F45" s="427"/>
      <c r="G45" s="496">
        <v>0</v>
      </c>
      <c r="H45" s="90"/>
      <c r="I45" s="101"/>
      <c r="J45" s="487"/>
      <c r="K45" s="497"/>
      <c r="L45" s="496">
        <v>0</v>
      </c>
      <c r="M45" s="90"/>
      <c r="N45" s="101"/>
      <c r="O45" s="487"/>
      <c r="P45" s="497"/>
      <c r="Q45" s="496">
        <v>0</v>
      </c>
      <c r="R45" s="90"/>
      <c r="S45" s="101"/>
      <c r="T45" s="487"/>
      <c r="U45" s="497"/>
      <c r="V45" s="496">
        <v>0</v>
      </c>
      <c r="W45" s="90"/>
      <c r="X45" s="101"/>
      <c r="Y45" s="487"/>
      <c r="Z45" s="497"/>
      <c r="AA45" s="496">
        <v>0</v>
      </c>
      <c r="AB45" s="90"/>
      <c r="AC45" s="101"/>
      <c r="AD45" s="487"/>
      <c r="AE45" s="497"/>
      <c r="AF45" s="496">
        <v>0</v>
      </c>
      <c r="AG45" s="90"/>
      <c r="AH45" s="101"/>
      <c r="AI45" s="487"/>
      <c r="AJ45" s="497"/>
      <c r="AK45" s="496">
        <v>0</v>
      </c>
      <c r="AL45" s="90"/>
      <c r="AM45" s="101"/>
      <c r="AN45" s="487"/>
      <c r="AO45" s="497"/>
      <c r="AP45" s="496">
        <v>0</v>
      </c>
      <c r="AQ45" s="90"/>
      <c r="AR45" s="101"/>
      <c r="AS45" s="487"/>
      <c r="AT45" s="497"/>
      <c r="AU45" s="496">
        <v>0</v>
      </c>
      <c r="AV45" s="90"/>
      <c r="AW45" s="101"/>
      <c r="AX45" s="487"/>
      <c r="AY45" s="497"/>
      <c r="AZ45" s="496">
        <v>0</v>
      </c>
      <c r="BA45" s="90"/>
      <c r="BB45" s="101"/>
      <c r="BC45" s="487"/>
      <c r="BD45" s="497"/>
      <c r="BE45" s="496">
        <v>0</v>
      </c>
      <c r="BF45" s="90"/>
      <c r="BG45" s="101"/>
      <c r="BH45" s="487"/>
      <c r="BI45" s="497"/>
      <c r="BJ45" s="496">
        <v>0</v>
      </c>
      <c r="BK45" s="90"/>
      <c r="BL45" s="101"/>
      <c r="BM45" s="487"/>
      <c r="BN45" s="497"/>
      <c r="BO45" s="496">
        <v>0</v>
      </c>
      <c r="BP45" s="90"/>
      <c r="BQ45" s="101"/>
      <c r="BR45" s="487"/>
      <c r="BS45" s="497"/>
      <c r="BT45" s="496">
        <f>SUM(L45:BO45)</f>
        <v>0</v>
      </c>
      <c r="BU45" s="90"/>
      <c r="BV45" s="101"/>
      <c r="BW45" s="398"/>
    </row>
    <row r="46" spans="1:75" ht="12.75" customHeight="1" x14ac:dyDescent="0.3">
      <c r="A46" s="388"/>
      <c r="B46" s="388"/>
      <c r="C46" s="388"/>
      <c r="D46" s="528"/>
      <c r="E46" s="529"/>
      <c r="F46" s="530"/>
      <c r="G46" s="101"/>
      <c r="H46" s="101"/>
      <c r="I46" s="101"/>
      <c r="J46" s="487"/>
      <c r="K46" s="101"/>
      <c r="L46" s="101"/>
      <c r="M46" s="101"/>
      <c r="N46" s="101"/>
      <c r="O46" s="487"/>
      <c r="P46" s="101"/>
      <c r="Q46" s="101"/>
      <c r="R46" s="101"/>
      <c r="S46" s="101"/>
      <c r="T46" s="487"/>
      <c r="U46" s="101"/>
      <c r="V46" s="101"/>
      <c r="W46" s="101"/>
      <c r="X46" s="101"/>
      <c r="Y46" s="487"/>
      <c r="Z46" s="101"/>
      <c r="AA46" s="101"/>
      <c r="AB46" s="101"/>
      <c r="AC46" s="101"/>
      <c r="AD46" s="487"/>
      <c r="AE46" s="101"/>
      <c r="AF46" s="101"/>
      <c r="AG46" s="101"/>
      <c r="AH46" s="101"/>
      <c r="AI46" s="487"/>
      <c r="AJ46" s="101"/>
      <c r="AK46" s="101"/>
      <c r="AL46" s="101"/>
      <c r="AM46" s="101"/>
      <c r="AN46" s="487"/>
      <c r="AO46" s="101"/>
      <c r="AP46" s="101"/>
      <c r="AQ46" s="101"/>
      <c r="AR46" s="101"/>
      <c r="AS46" s="487"/>
      <c r="AT46" s="101"/>
      <c r="AU46" s="101"/>
      <c r="AV46" s="101"/>
      <c r="AW46" s="101"/>
      <c r="AX46" s="487"/>
      <c r="AY46" s="101"/>
      <c r="AZ46" s="101"/>
      <c r="BA46" s="101"/>
      <c r="BB46" s="101"/>
      <c r="BC46" s="487"/>
      <c r="BD46" s="101"/>
      <c r="BE46" s="101"/>
      <c r="BF46" s="101"/>
      <c r="BG46" s="101"/>
      <c r="BH46" s="487"/>
      <c r="BI46" s="101"/>
      <c r="BJ46" s="101"/>
      <c r="BK46" s="101"/>
      <c r="BL46" s="101"/>
      <c r="BM46" s="487"/>
      <c r="BN46" s="101"/>
      <c r="BO46" s="101"/>
      <c r="BP46" s="101"/>
      <c r="BQ46" s="101"/>
      <c r="BR46" s="487"/>
      <c r="BS46" s="101"/>
      <c r="BT46" s="101"/>
      <c r="BU46" s="101"/>
      <c r="BV46" s="101"/>
      <c r="BW46" s="398"/>
    </row>
    <row r="47" spans="1:75" ht="12.75" hidden="1" customHeight="1" x14ac:dyDescent="0.2">
      <c r="A47" s="388"/>
      <c r="B47" s="388"/>
      <c r="C47" s="388"/>
      <c r="D47" s="398" t="s">
        <v>480</v>
      </c>
      <c r="E47" s="404"/>
      <c r="F47" s="388"/>
      <c r="G47" s="101">
        <v>0</v>
      </c>
      <c r="H47" s="101"/>
      <c r="I47" s="101"/>
      <c r="J47" s="487"/>
      <c r="K47" s="101"/>
      <c r="L47" s="101">
        <f>L48+L50</f>
        <v>0</v>
      </c>
      <c r="M47" s="101"/>
      <c r="N47" s="101"/>
      <c r="O47" s="487"/>
      <c r="P47" s="101"/>
      <c r="Q47" s="101">
        <f>Q48+Q50</f>
        <v>0</v>
      </c>
      <c r="R47" s="101"/>
      <c r="S47" s="101"/>
      <c r="T47" s="487"/>
      <c r="U47" s="101"/>
      <c r="V47" s="101">
        <f>V48+V50</f>
        <v>0</v>
      </c>
      <c r="W47" s="101"/>
      <c r="X47" s="101"/>
      <c r="Y47" s="487"/>
      <c r="Z47" s="101"/>
      <c r="AA47" s="101">
        <f>AA48+AA50</f>
        <v>0</v>
      </c>
      <c r="AB47" s="101"/>
      <c r="AC47" s="101"/>
      <c r="AD47" s="487"/>
      <c r="AE47" s="101"/>
      <c r="AF47" s="101">
        <f>AF48+AF50</f>
        <v>0</v>
      </c>
      <c r="AG47" s="101"/>
      <c r="AH47" s="101"/>
      <c r="AI47" s="487"/>
      <c r="AJ47" s="101"/>
      <c r="AK47" s="101">
        <f>AK48+AK50</f>
        <v>0</v>
      </c>
      <c r="AL47" s="101"/>
      <c r="AM47" s="101"/>
      <c r="AN47" s="487"/>
      <c r="AO47" s="101"/>
      <c r="AP47" s="101">
        <f>AP48+AP50</f>
        <v>0</v>
      </c>
      <c r="AQ47" s="101"/>
      <c r="AR47" s="101"/>
      <c r="AS47" s="487"/>
      <c r="AT47" s="101"/>
      <c r="AU47" s="101">
        <f>AU48+AU50</f>
        <v>0</v>
      </c>
      <c r="AV47" s="101"/>
      <c r="AW47" s="101"/>
      <c r="AX47" s="487"/>
      <c r="AY47" s="101"/>
      <c r="AZ47" s="101">
        <f>AZ48+AZ50</f>
        <v>0</v>
      </c>
      <c r="BA47" s="101"/>
      <c r="BB47" s="101"/>
      <c r="BC47" s="487"/>
      <c r="BD47" s="101"/>
      <c r="BE47" s="101">
        <f>BE48+BE50</f>
        <v>0</v>
      </c>
      <c r="BF47" s="101"/>
      <c r="BG47" s="101"/>
      <c r="BH47" s="487"/>
      <c r="BI47" s="101"/>
      <c r="BJ47" s="101">
        <f>BJ48+BJ50</f>
        <v>0</v>
      </c>
      <c r="BK47" s="101"/>
      <c r="BL47" s="101"/>
      <c r="BM47" s="487"/>
      <c r="BN47" s="101"/>
      <c r="BO47" s="101">
        <f>BO48+BO50</f>
        <v>0</v>
      </c>
      <c r="BP47" s="101"/>
      <c r="BQ47" s="101"/>
      <c r="BR47" s="487"/>
      <c r="BS47" s="101"/>
      <c r="BT47" s="101">
        <f>SUM(BT48:BT50)</f>
        <v>0</v>
      </c>
      <c r="BU47" s="101"/>
      <c r="BV47" s="101"/>
      <c r="BW47" s="398"/>
    </row>
    <row r="48" spans="1:75" ht="12.75" hidden="1" customHeight="1" x14ac:dyDescent="0.2">
      <c r="A48" s="388"/>
      <c r="B48" s="388"/>
      <c r="C48" s="388"/>
      <c r="D48" s="398" t="s">
        <v>373</v>
      </c>
      <c r="E48" s="404"/>
      <c r="F48" s="412"/>
      <c r="G48" s="485">
        <v>0</v>
      </c>
      <c r="H48" s="486"/>
      <c r="I48" s="101"/>
      <c r="J48" s="487"/>
      <c r="K48" s="488"/>
      <c r="L48" s="485">
        <v>0</v>
      </c>
      <c r="M48" s="486"/>
      <c r="N48" s="101"/>
      <c r="O48" s="487"/>
      <c r="P48" s="488"/>
      <c r="Q48" s="485">
        <v>0</v>
      </c>
      <c r="R48" s="486"/>
      <c r="S48" s="101"/>
      <c r="T48" s="487"/>
      <c r="U48" s="488"/>
      <c r="V48" s="485">
        <v>0</v>
      </c>
      <c r="W48" s="486"/>
      <c r="X48" s="101"/>
      <c r="Y48" s="487"/>
      <c r="Z48" s="488"/>
      <c r="AA48" s="485">
        <v>0</v>
      </c>
      <c r="AB48" s="486"/>
      <c r="AC48" s="101"/>
      <c r="AD48" s="487"/>
      <c r="AE48" s="488"/>
      <c r="AF48" s="485">
        <v>0</v>
      </c>
      <c r="AG48" s="486"/>
      <c r="AH48" s="101"/>
      <c r="AI48" s="487"/>
      <c r="AJ48" s="488"/>
      <c r="AK48" s="485">
        <v>0</v>
      </c>
      <c r="AL48" s="486"/>
      <c r="AM48" s="101"/>
      <c r="AN48" s="487"/>
      <c r="AO48" s="488"/>
      <c r="AP48" s="485">
        <v>0</v>
      </c>
      <c r="AQ48" s="486"/>
      <c r="AR48" s="101"/>
      <c r="AS48" s="487"/>
      <c r="AT48" s="488"/>
      <c r="AU48" s="485">
        <v>0</v>
      </c>
      <c r="AV48" s="486"/>
      <c r="AW48" s="101"/>
      <c r="AX48" s="487"/>
      <c r="AY48" s="488"/>
      <c r="AZ48" s="485">
        <v>0</v>
      </c>
      <c r="BA48" s="486"/>
      <c r="BB48" s="101"/>
      <c r="BC48" s="487"/>
      <c r="BD48" s="488"/>
      <c r="BE48" s="485">
        <v>0</v>
      </c>
      <c r="BF48" s="486"/>
      <c r="BG48" s="101"/>
      <c r="BH48" s="487"/>
      <c r="BI48" s="488"/>
      <c r="BJ48" s="485">
        <v>0</v>
      </c>
      <c r="BK48" s="486"/>
      <c r="BL48" s="101"/>
      <c r="BM48" s="487"/>
      <c r="BN48" s="488"/>
      <c r="BO48" s="485">
        <v>0</v>
      </c>
      <c r="BP48" s="486"/>
      <c r="BQ48" s="101"/>
      <c r="BR48" s="487"/>
      <c r="BS48" s="488"/>
      <c r="BT48" s="485">
        <f>SUM(L48:BO48)</f>
        <v>0</v>
      </c>
      <c r="BU48" s="486"/>
      <c r="BV48" s="101"/>
      <c r="BW48" s="398"/>
    </row>
    <row r="49" spans="1:78" ht="12.75" hidden="1" customHeight="1" x14ac:dyDescent="0.2">
      <c r="A49" s="388"/>
      <c r="B49" s="388"/>
      <c r="C49" s="388"/>
      <c r="D49" s="398" t="s">
        <v>375</v>
      </c>
      <c r="E49" s="404"/>
      <c r="F49" s="404"/>
      <c r="G49" s="101">
        <v>0</v>
      </c>
      <c r="H49" s="49"/>
      <c r="I49" s="101"/>
      <c r="J49" s="487"/>
      <c r="K49" s="487"/>
      <c r="L49" s="101">
        <v>0</v>
      </c>
      <c r="M49" s="49"/>
      <c r="N49" s="101"/>
      <c r="O49" s="487"/>
      <c r="P49" s="487"/>
      <c r="Q49" s="101">
        <v>0</v>
      </c>
      <c r="R49" s="49"/>
      <c r="S49" s="101"/>
      <c r="T49" s="487"/>
      <c r="U49" s="487"/>
      <c r="V49" s="101">
        <v>0</v>
      </c>
      <c r="W49" s="49"/>
      <c r="X49" s="101"/>
      <c r="Y49" s="487"/>
      <c r="Z49" s="487"/>
      <c r="AA49" s="101">
        <v>0</v>
      </c>
      <c r="AB49" s="49"/>
      <c r="AC49" s="101"/>
      <c r="AD49" s="487"/>
      <c r="AE49" s="487"/>
      <c r="AF49" s="101">
        <v>0</v>
      </c>
      <c r="AG49" s="49"/>
      <c r="AH49" s="101"/>
      <c r="AI49" s="487"/>
      <c r="AJ49" s="487"/>
      <c r="AK49" s="101">
        <v>0</v>
      </c>
      <c r="AL49" s="49"/>
      <c r="AM49" s="101"/>
      <c r="AN49" s="487"/>
      <c r="AO49" s="487"/>
      <c r="AP49" s="101">
        <v>0</v>
      </c>
      <c r="AQ49" s="49"/>
      <c r="AR49" s="101"/>
      <c r="AS49" s="487"/>
      <c r="AT49" s="487"/>
      <c r="AU49" s="101">
        <v>0</v>
      </c>
      <c r="AV49" s="49"/>
      <c r="AW49" s="101"/>
      <c r="AX49" s="487"/>
      <c r="AY49" s="487"/>
      <c r="AZ49" s="101">
        <v>0</v>
      </c>
      <c r="BA49" s="49"/>
      <c r="BB49" s="101"/>
      <c r="BC49" s="487"/>
      <c r="BD49" s="487"/>
      <c r="BE49" s="101">
        <v>0</v>
      </c>
      <c r="BF49" s="49"/>
      <c r="BG49" s="101"/>
      <c r="BH49" s="487"/>
      <c r="BI49" s="487"/>
      <c r="BJ49" s="101">
        <v>0</v>
      </c>
      <c r="BK49" s="49"/>
      <c r="BL49" s="101"/>
      <c r="BM49" s="487"/>
      <c r="BN49" s="487"/>
      <c r="BO49" s="101">
        <v>0</v>
      </c>
      <c r="BP49" s="49"/>
      <c r="BQ49" s="101"/>
      <c r="BR49" s="487"/>
      <c r="BS49" s="487"/>
      <c r="BT49" s="101">
        <f>SUM(L49:BO49)</f>
        <v>0</v>
      </c>
      <c r="BU49" s="49"/>
      <c r="BV49" s="101"/>
      <c r="BW49" s="398"/>
    </row>
    <row r="50" spans="1:78" ht="12.75" hidden="1" customHeight="1" x14ac:dyDescent="0.2">
      <c r="A50" s="388"/>
      <c r="B50" s="388"/>
      <c r="C50" s="388"/>
      <c r="D50" s="398" t="s">
        <v>383</v>
      </c>
      <c r="E50" s="404"/>
      <c r="F50" s="427"/>
      <c r="G50" s="496">
        <v>0</v>
      </c>
      <c r="H50" s="90"/>
      <c r="I50" s="101"/>
      <c r="J50" s="487"/>
      <c r="K50" s="497"/>
      <c r="L50" s="496">
        <v>0</v>
      </c>
      <c r="M50" s="90"/>
      <c r="N50" s="101"/>
      <c r="O50" s="487"/>
      <c r="P50" s="497"/>
      <c r="Q50" s="496">
        <v>0</v>
      </c>
      <c r="R50" s="90"/>
      <c r="S50" s="101"/>
      <c r="T50" s="487"/>
      <c r="U50" s="497"/>
      <c r="V50" s="496">
        <v>0</v>
      </c>
      <c r="W50" s="90"/>
      <c r="X50" s="101"/>
      <c r="Y50" s="487"/>
      <c r="Z50" s="497"/>
      <c r="AA50" s="496">
        <v>0</v>
      </c>
      <c r="AB50" s="90"/>
      <c r="AC50" s="101"/>
      <c r="AD50" s="487"/>
      <c r="AE50" s="497"/>
      <c r="AF50" s="496">
        <v>0</v>
      </c>
      <c r="AG50" s="90"/>
      <c r="AH50" s="101"/>
      <c r="AI50" s="487"/>
      <c r="AJ50" s="497"/>
      <c r="AK50" s="496">
        <v>0</v>
      </c>
      <c r="AL50" s="90"/>
      <c r="AM50" s="101"/>
      <c r="AN50" s="487"/>
      <c r="AO50" s="497"/>
      <c r="AP50" s="496">
        <v>0</v>
      </c>
      <c r="AQ50" s="90"/>
      <c r="AR50" s="101"/>
      <c r="AS50" s="487"/>
      <c r="AT50" s="497"/>
      <c r="AU50" s="496">
        <v>0</v>
      </c>
      <c r="AV50" s="90"/>
      <c r="AW50" s="101"/>
      <c r="AX50" s="487"/>
      <c r="AY50" s="497"/>
      <c r="AZ50" s="496">
        <v>0</v>
      </c>
      <c r="BA50" s="90"/>
      <c r="BB50" s="101"/>
      <c r="BC50" s="487"/>
      <c r="BD50" s="497"/>
      <c r="BE50" s="496">
        <v>0</v>
      </c>
      <c r="BF50" s="90"/>
      <c r="BG50" s="101"/>
      <c r="BH50" s="487"/>
      <c r="BI50" s="497"/>
      <c r="BJ50" s="496">
        <v>0</v>
      </c>
      <c r="BK50" s="90"/>
      <c r="BL50" s="101"/>
      <c r="BM50" s="487"/>
      <c r="BN50" s="497"/>
      <c r="BO50" s="496">
        <v>0</v>
      </c>
      <c r="BP50" s="90"/>
      <c r="BQ50" s="101"/>
      <c r="BR50" s="487"/>
      <c r="BS50" s="497"/>
      <c r="BT50" s="496">
        <f>SUM(L50:BO50)</f>
        <v>0</v>
      </c>
      <c r="BU50" s="90"/>
      <c r="BV50" s="101"/>
      <c r="BW50" s="398"/>
    </row>
    <row r="51" spans="1:78" ht="12.75" hidden="1" customHeight="1" x14ac:dyDescent="0.2">
      <c r="A51" s="388"/>
      <c r="B51" s="388"/>
      <c r="C51" s="388"/>
      <c r="D51" s="528"/>
      <c r="E51" s="529"/>
      <c r="F51" s="530"/>
      <c r="G51" s="101"/>
      <c r="H51" s="101"/>
      <c r="I51" s="101"/>
      <c r="J51" s="487"/>
      <c r="K51" s="101"/>
      <c r="L51" s="101"/>
      <c r="M51" s="101"/>
      <c r="N51" s="101"/>
      <c r="O51" s="487"/>
      <c r="P51" s="101"/>
      <c r="Q51" s="101"/>
      <c r="R51" s="101"/>
      <c r="S51" s="101"/>
      <c r="T51" s="487"/>
      <c r="U51" s="101"/>
      <c r="V51" s="101"/>
      <c r="W51" s="101"/>
      <c r="X51" s="101"/>
      <c r="Y51" s="487"/>
      <c r="Z51" s="101"/>
      <c r="AA51" s="101"/>
      <c r="AB51" s="101"/>
      <c r="AC51" s="101"/>
      <c r="AD51" s="487"/>
      <c r="AE51" s="101"/>
      <c r="AF51" s="101"/>
      <c r="AG51" s="101"/>
      <c r="AH51" s="101"/>
      <c r="AI51" s="487"/>
      <c r="AJ51" s="101"/>
      <c r="AK51" s="101"/>
      <c r="AL51" s="101"/>
      <c r="AM51" s="101"/>
      <c r="AN51" s="487"/>
      <c r="AO51" s="101"/>
      <c r="AP51" s="101"/>
      <c r="AQ51" s="101"/>
      <c r="AR51" s="101"/>
      <c r="AS51" s="487"/>
      <c r="AT51" s="101"/>
      <c r="AU51" s="101"/>
      <c r="AV51" s="101"/>
      <c r="AW51" s="101"/>
      <c r="AX51" s="487"/>
      <c r="AY51" s="101"/>
      <c r="AZ51" s="101"/>
      <c r="BA51" s="101"/>
      <c r="BB51" s="101"/>
      <c r="BC51" s="487"/>
      <c r="BD51" s="101"/>
      <c r="BE51" s="101"/>
      <c r="BF51" s="101"/>
      <c r="BG51" s="101"/>
      <c r="BH51" s="487"/>
      <c r="BI51" s="101"/>
      <c r="BJ51" s="101"/>
      <c r="BK51" s="101"/>
      <c r="BL51" s="101"/>
      <c r="BM51" s="487"/>
      <c r="BN51" s="101"/>
      <c r="BO51" s="101"/>
      <c r="BP51" s="101"/>
      <c r="BQ51" s="101"/>
      <c r="BR51" s="487"/>
      <c r="BS51" s="101"/>
      <c r="BT51" s="101"/>
      <c r="BU51" s="101"/>
      <c r="BV51" s="101"/>
      <c r="BW51" s="398"/>
    </row>
    <row r="52" spans="1:78" ht="12.75" hidden="1" customHeight="1" x14ac:dyDescent="0.2">
      <c r="A52" s="388"/>
      <c r="B52" s="388"/>
      <c r="C52" s="388"/>
      <c r="D52" s="398" t="s">
        <v>481</v>
      </c>
      <c r="E52" s="404"/>
      <c r="F52" s="388"/>
      <c r="G52" s="101">
        <v>0</v>
      </c>
      <c r="H52" s="101"/>
      <c r="I52" s="101"/>
      <c r="J52" s="487"/>
      <c r="K52" s="101"/>
      <c r="L52" s="101">
        <f>L53+L55</f>
        <v>0</v>
      </c>
      <c r="M52" s="101"/>
      <c r="N52" s="101"/>
      <c r="O52" s="487"/>
      <c r="P52" s="101"/>
      <c r="Q52" s="101">
        <f>Q53+Q55</f>
        <v>0</v>
      </c>
      <c r="R52" s="101"/>
      <c r="S52" s="101"/>
      <c r="T52" s="487"/>
      <c r="U52" s="101"/>
      <c r="V52" s="101">
        <f>V53+V55</f>
        <v>0</v>
      </c>
      <c r="W52" s="101"/>
      <c r="X52" s="101"/>
      <c r="Y52" s="487"/>
      <c r="Z52" s="101"/>
      <c r="AA52" s="101">
        <f>AA53+AA55</f>
        <v>0</v>
      </c>
      <c r="AB52" s="101"/>
      <c r="AC52" s="101"/>
      <c r="AD52" s="487"/>
      <c r="AE52" s="101"/>
      <c r="AF52" s="101">
        <f>AF53+AF55</f>
        <v>0</v>
      </c>
      <c r="AG52" s="101"/>
      <c r="AH52" s="101"/>
      <c r="AI52" s="487"/>
      <c r="AJ52" s="101"/>
      <c r="AK52" s="101">
        <f>AK53+AK55</f>
        <v>0</v>
      </c>
      <c r="AL52" s="101"/>
      <c r="AM52" s="101"/>
      <c r="AN52" s="487"/>
      <c r="AO52" s="101"/>
      <c r="AP52" s="101">
        <f>AP53+AP55</f>
        <v>0</v>
      </c>
      <c r="AQ52" s="101"/>
      <c r="AR52" s="101"/>
      <c r="AS52" s="487"/>
      <c r="AT52" s="101"/>
      <c r="AU52" s="101">
        <f>AU53+AU55</f>
        <v>0</v>
      </c>
      <c r="AV52" s="101"/>
      <c r="AW52" s="101"/>
      <c r="AX52" s="487"/>
      <c r="AY52" s="101"/>
      <c r="AZ52" s="101">
        <f>AZ53+AZ55</f>
        <v>0</v>
      </c>
      <c r="BA52" s="101"/>
      <c r="BB52" s="101"/>
      <c r="BC52" s="487"/>
      <c r="BD52" s="101"/>
      <c r="BE52" s="101">
        <f>BE53+BE55</f>
        <v>0</v>
      </c>
      <c r="BF52" s="101"/>
      <c r="BG52" s="101"/>
      <c r="BH52" s="487"/>
      <c r="BI52" s="101"/>
      <c r="BJ52" s="101">
        <f>BJ53+BJ55</f>
        <v>0</v>
      </c>
      <c r="BK52" s="101"/>
      <c r="BL52" s="101"/>
      <c r="BM52" s="487"/>
      <c r="BN52" s="101"/>
      <c r="BO52" s="101">
        <f>BO53+BO55</f>
        <v>0</v>
      </c>
      <c r="BP52" s="101"/>
      <c r="BQ52" s="101"/>
      <c r="BR52" s="487"/>
      <c r="BS52" s="101"/>
      <c r="BT52" s="101">
        <f>SUM(BT53:BT55)</f>
        <v>0</v>
      </c>
      <c r="BU52" s="101"/>
      <c r="BV52" s="101"/>
      <c r="BW52" s="398"/>
    </row>
    <row r="53" spans="1:78" ht="12.75" hidden="1" customHeight="1" x14ac:dyDescent="0.2">
      <c r="A53" s="388"/>
      <c r="B53" s="388"/>
      <c r="C53" s="388"/>
      <c r="D53" s="398" t="s">
        <v>373</v>
      </c>
      <c r="E53" s="404"/>
      <c r="F53" s="412"/>
      <c r="G53" s="485">
        <v>0</v>
      </c>
      <c r="H53" s="486"/>
      <c r="I53" s="101"/>
      <c r="J53" s="487"/>
      <c r="K53" s="488"/>
      <c r="L53" s="485">
        <v>0</v>
      </c>
      <c r="M53" s="486"/>
      <c r="N53" s="101"/>
      <c r="O53" s="487"/>
      <c r="P53" s="488"/>
      <c r="Q53" s="485">
        <v>0</v>
      </c>
      <c r="R53" s="486"/>
      <c r="S53" s="101"/>
      <c r="T53" s="487"/>
      <c r="U53" s="488"/>
      <c r="V53" s="485">
        <v>0</v>
      </c>
      <c r="W53" s="486"/>
      <c r="X53" s="101"/>
      <c r="Y53" s="487"/>
      <c r="Z53" s="488"/>
      <c r="AA53" s="485">
        <v>0</v>
      </c>
      <c r="AB53" s="486"/>
      <c r="AC53" s="101"/>
      <c r="AD53" s="487"/>
      <c r="AE53" s="488"/>
      <c r="AF53" s="485">
        <v>0</v>
      </c>
      <c r="AG53" s="486"/>
      <c r="AH53" s="101"/>
      <c r="AI53" s="487"/>
      <c r="AJ53" s="488"/>
      <c r="AK53" s="485">
        <v>0</v>
      </c>
      <c r="AL53" s="486"/>
      <c r="AM53" s="101"/>
      <c r="AN53" s="487"/>
      <c r="AO53" s="488"/>
      <c r="AP53" s="485">
        <v>0</v>
      </c>
      <c r="AQ53" s="486"/>
      <c r="AR53" s="101"/>
      <c r="AS53" s="487"/>
      <c r="AT53" s="488"/>
      <c r="AU53" s="485">
        <v>0</v>
      </c>
      <c r="AV53" s="486"/>
      <c r="AW53" s="101"/>
      <c r="AX53" s="487"/>
      <c r="AY53" s="488"/>
      <c r="AZ53" s="485">
        <v>0</v>
      </c>
      <c r="BA53" s="486"/>
      <c r="BB53" s="101"/>
      <c r="BC53" s="487"/>
      <c r="BD53" s="488"/>
      <c r="BE53" s="485">
        <v>0</v>
      </c>
      <c r="BF53" s="486"/>
      <c r="BG53" s="101"/>
      <c r="BH53" s="487"/>
      <c r="BI53" s="488"/>
      <c r="BJ53" s="485">
        <v>0</v>
      </c>
      <c r="BK53" s="486"/>
      <c r="BL53" s="101"/>
      <c r="BM53" s="487"/>
      <c r="BN53" s="488"/>
      <c r="BO53" s="485">
        <v>0</v>
      </c>
      <c r="BP53" s="486"/>
      <c r="BQ53" s="101"/>
      <c r="BR53" s="487"/>
      <c r="BS53" s="488"/>
      <c r="BT53" s="485">
        <f>SUM(L53:BO53)</f>
        <v>0</v>
      </c>
      <c r="BU53" s="486"/>
      <c r="BV53" s="101"/>
      <c r="BW53" s="398"/>
    </row>
    <row r="54" spans="1:78" ht="12.75" hidden="1" customHeight="1" x14ac:dyDescent="0.2">
      <c r="A54" s="388"/>
      <c r="B54" s="388"/>
      <c r="C54" s="388"/>
      <c r="D54" s="398" t="s">
        <v>375</v>
      </c>
      <c r="E54" s="404"/>
      <c r="F54" s="404"/>
      <c r="G54" s="101">
        <v>0</v>
      </c>
      <c r="H54" s="49"/>
      <c r="I54" s="101"/>
      <c r="J54" s="487"/>
      <c r="K54" s="487"/>
      <c r="L54" s="101">
        <v>0</v>
      </c>
      <c r="M54" s="49"/>
      <c r="N54" s="101"/>
      <c r="O54" s="487"/>
      <c r="P54" s="487"/>
      <c r="Q54" s="101">
        <v>0</v>
      </c>
      <c r="R54" s="49"/>
      <c r="S54" s="101"/>
      <c r="T54" s="487"/>
      <c r="U54" s="487"/>
      <c r="V54" s="101">
        <v>0</v>
      </c>
      <c r="W54" s="49"/>
      <c r="X54" s="101"/>
      <c r="Y54" s="487"/>
      <c r="Z54" s="487"/>
      <c r="AA54" s="101">
        <v>0</v>
      </c>
      <c r="AB54" s="49"/>
      <c r="AC54" s="101"/>
      <c r="AD54" s="487"/>
      <c r="AE54" s="487"/>
      <c r="AF54" s="101">
        <v>0</v>
      </c>
      <c r="AG54" s="49"/>
      <c r="AH54" s="101"/>
      <c r="AI54" s="487"/>
      <c r="AJ54" s="487"/>
      <c r="AK54" s="101">
        <v>0</v>
      </c>
      <c r="AL54" s="49"/>
      <c r="AM54" s="101"/>
      <c r="AN54" s="487"/>
      <c r="AO54" s="487"/>
      <c r="AP54" s="101">
        <v>0</v>
      </c>
      <c r="AQ54" s="49"/>
      <c r="AR54" s="101"/>
      <c r="AS54" s="487"/>
      <c r="AT54" s="487"/>
      <c r="AU54" s="101">
        <v>0</v>
      </c>
      <c r="AV54" s="49"/>
      <c r="AW54" s="101"/>
      <c r="AX54" s="487"/>
      <c r="AY54" s="487"/>
      <c r="AZ54" s="101">
        <v>0</v>
      </c>
      <c r="BA54" s="49"/>
      <c r="BB54" s="101"/>
      <c r="BC54" s="487"/>
      <c r="BD54" s="487"/>
      <c r="BE54" s="101">
        <v>0</v>
      </c>
      <c r="BF54" s="49"/>
      <c r="BG54" s="101"/>
      <c r="BH54" s="487"/>
      <c r="BI54" s="487"/>
      <c r="BJ54" s="101">
        <v>0</v>
      </c>
      <c r="BK54" s="49"/>
      <c r="BL54" s="101"/>
      <c r="BM54" s="487"/>
      <c r="BN54" s="487"/>
      <c r="BO54" s="101">
        <v>0</v>
      </c>
      <c r="BP54" s="49"/>
      <c r="BQ54" s="101"/>
      <c r="BR54" s="487"/>
      <c r="BS54" s="487"/>
      <c r="BT54" s="101">
        <f>SUM(L54:BO54)</f>
        <v>0</v>
      </c>
      <c r="BU54" s="49"/>
      <c r="BV54" s="101"/>
      <c r="BW54" s="398"/>
    </row>
    <row r="55" spans="1:78" ht="12.75" hidden="1" customHeight="1" x14ac:dyDescent="0.2">
      <c r="A55" s="388"/>
      <c r="B55" s="388"/>
      <c r="C55" s="388"/>
      <c r="D55" s="398" t="s">
        <v>383</v>
      </c>
      <c r="E55" s="404"/>
      <c r="F55" s="427"/>
      <c r="G55" s="496">
        <v>0</v>
      </c>
      <c r="H55" s="90"/>
      <c r="I55" s="101"/>
      <c r="J55" s="487"/>
      <c r="K55" s="497"/>
      <c r="L55" s="496">
        <v>0</v>
      </c>
      <c r="M55" s="90"/>
      <c r="N55" s="101"/>
      <c r="O55" s="487"/>
      <c r="P55" s="497"/>
      <c r="Q55" s="496">
        <v>0</v>
      </c>
      <c r="R55" s="90"/>
      <c r="S55" s="101"/>
      <c r="T55" s="487"/>
      <c r="U55" s="497"/>
      <c r="V55" s="496">
        <v>0</v>
      </c>
      <c r="W55" s="90"/>
      <c r="X55" s="101"/>
      <c r="Y55" s="487"/>
      <c r="Z55" s="497"/>
      <c r="AA55" s="496">
        <v>0</v>
      </c>
      <c r="AB55" s="90"/>
      <c r="AC55" s="101"/>
      <c r="AD55" s="487"/>
      <c r="AE55" s="497"/>
      <c r="AF55" s="496">
        <v>0</v>
      </c>
      <c r="AG55" s="90"/>
      <c r="AH55" s="101"/>
      <c r="AI55" s="487"/>
      <c r="AJ55" s="497"/>
      <c r="AK55" s="496">
        <v>0</v>
      </c>
      <c r="AL55" s="90"/>
      <c r="AM55" s="101"/>
      <c r="AN55" s="487"/>
      <c r="AO55" s="497"/>
      <c r="AP55" s="496">
        <v>0</v>
      </c>
      <c r="AQ55" s="90"/>
      <c r="AR55" s="101"/>
      <c r="AS55" s="487"/>
      <c r="AT55" s="497"/>
      <c r="AU55" s="496">
        <v>0</v>
      </c>
      <c r="AV55" s="90"/>
      <c r="AW55" s="101"/>
      <c r="AX55" s="487"/>
      <c r="AY55" s="497"/>
      <c r="AZ55" s="496">
        <v>0</v>
      </c>
      <c r="BA55" s="90"/>
      <c r="BB55" s="101"/>
      <c r="BC55" s="487"/>
      <c r="BD55" s="497"/>
      <c r="BE55" s="496">
        <v>0</v>
      </c>
      <c r="BF55" s="90"/>
      <c r="BG55" s="101"/>
      <c r="BH55" s="487"/>
      <c r="BI55" s="497"/>
      <c r="BJ55" s="496">
        <v>0</v>
      </c>
      <c r="BK55" s="90"/>
      <c r="BL55" s="101"/>
      <c r="BM55" s="487"/>
      <c r="BN55" s="497"/>
      <c r="BO55" s="496">
        <v>0</v>
      </c>
      <c r="BP55" s="90"/>
      <c r="BQ55" s="101"/>
      <c r="BR55" s="487"/>
      <c r="BS55" s="497"/>
      <c r="BT55" s="496">
        <f>SUM(L55:BO55)</f>
        <v>0</v>
      </c>
      <c r="BU55" s="90"/>
      <c r="BV55" s="101"/>
      <c r="BW55" s="398"/>
    </row>
    <row r="56" spans="1:78" ht="12.75" hidden="1" customHeight="1" x14ac:dyDescent="0.2">
      <c r="A56" s="388"/>
      <c r="B56" s="388"/>
      <c r="C56" s="388"/>
      <c r="D56" s="398"/>
      <c r="E56" s="404"/>
      <c r="F56" s="388"/>
      <c r="G56" s="101"/>
      <c r="H56" s="101"/>
      <c r="I56" s="101"/>
      <c r="J56" s="487"/>
      <c r="K56" s="101"/>
      <c r="L56" s="101"/>
      <c r="M56" s="101"/>
      <c r="N56" s="101"/>
      <c r="O56" s="487"/>
      <c r="P56" s="101"/>
      <c r="Q56" s="101"/>
      <c r="R56" s="101"/>
      <c r="S56" s="101"/>
      <c r="T56" s="487"/>
      <c r="U56" s="101"/>
      <c r="V56" s="101"/>
      <c r="W56" s="101"/>
      <c r="X56" s="101"/>
      <c r="Y56" s="487"/>
      <c r="Z56" s="101"/>
      <c r="AA56" s="101"/>
      <c r="AB56" s="101"/>
      <c r="AC56" s="101"/>
      <c r="AD56" s="487"/>
      <c r="AE56" s="101"/>
      <c r="AF56" s="101"/>
      <c r="AG56" s="101"/>
      <c r="AH56" s="101"/>
      <c r="AI56" s="487"/>
      <c r="AJ56" s="101"/>
      <c r="AK56" s="101"/>
      <c r="AL56" s="101"/>
      <c r="AM56" s="101"/>
      <c r="AN56" s="487"/>
      <c r="AO56" s="101"/>
      <c r="AP56" s="101"/>
      <c r="AQ56" s="101"/>
      <c r="AR56" s="101"/>
      <c r="AS56" s="487"/>
      <c r="AT56" s="101"/>
      <c r="AU56" s="101"/>
      <c r="AV56" s="101"/>
      <c r="AW56" s="101"/>
      <c r="AX56" s="487"/>
      <c r="AY56" s="101"/>
      <c r="AZ56" s="101"/>
      <c r="BA56" s="101"/>
      <c r="BB56" s="101"/>
      <c r="BC56" s="487"/>
      <c r="BD56" s="101"/>
      <c r="BE56" s="101"/>
      <c r="BF56" s="101"/>
      <c r="BG56" s="101"/>
      <c r="BH56" s="487"/>
      <c r="BI56" s="101"/>
      <c r="BJ56" s="101"/>
      <c r="BK56" s="101"/>
      <c r="BL56" s="101"/>
      <c r="BM56" s="487"/>
      <c r="BN56" s="101"/>
      <c r="BO56" s="101"/>
      <c r="BP56" s="101"/>
      <c r="BQ56" s="101"/>
      <c r="BR56" s="487"/>
      <c r="BS56" s="101"/>
      <c r="BT56" s="101"/>
      <c r="BU56" s="101"/>
      <c r="BV56" s="101"/>
      <c r="BW56" s="398"/>
    </row>
    <row r="57" spans="1:78" ht="12.75" customHeight="1" x14ac:dyDescent="0.3">
      <c r="A57" s="388"/>
      <c r="B57" s="388"/>
      <c r="C57" s="388"/>
      <c r="D57" s="398" t="s">
        <v>482</v>
      </c>
      <c r="E57" s="404"/>
      <c r="F57" s="388"/>
      <c r="G57" s="101">
        <v>0</v>
      </c>
      <c r="H57" s="101"/>
      <c r="I57" s="101"/>
      <c r="J57" s="487"/>
      <c r="K57" s="101"/>
      <c r="L57" s="101">
        <f>SUM(L58:L60)</f>
        <v>0</v>
      </c>
      <c r="M57" s="101"/>
      <c r="N57" s="101"/>
      <c r="O57" s="487"/>
      <c r="P57" s="101"/>
      <c r="Q57" s="101">
        <f>SUM(Q58:Q60)</f>
        <v>0</v>
      </c>
      <c r="R57" s="101"/>
      <c r="S57" s="101"/>
      <c r="T57" s="487"/>
      <c r="U57" s="101"/>
      <c r="V57" s="101">
        <f>SUM(V58:V60)</f>
        <v>0</v>
      </c>
      <c r="W57" s="101"/>
      <c r="X57" s="101"/>
      <c r="Y57" s="487"/>
      <c r="Z57" s="101"/>
      <c r="AA57" s="101">
        <f>SUM(AA58:AA60)</f>
        <v>0</v>
      </c>
      <c r="AB57" s="101"/>
      <c r="AC57" s="101"/>
      <c r="AD57" s="487"/>
      <c r="AE57" s="101"/>
      <c r="AF57" s="101">
        <f>SUM(AF58:AF60)</f>
        <v>0</v>
      </c>
      <c r="AG57" s="101"/>
      <c r="AH57" s="101"/>
      <c r="AI57" s="487"/>
      <c r="AJ57" s="101"/>
      <c r="AK57" s="101">
        <f>SUM(AK58:AK60)</f>
        <v>0</v>
      </c>
      <c r="AL57" s="101"/>
      <c r="AM57" s="101"/>
      <c r="AN57" s="487"/>
      <c r="AO57" s="101"/>
      <c r="AP57" s="101">
        <f>SUM(AP58:AP60)</f>
        <v>5008164</v>
      </c>
      <c r="AQ57" s="101"/>
      <c r="AR57" s="101"/>
      <c r="AS57" s="487"/>
      <c r="AT57" s="101"/>
      <c r="AU57" s="101">
        <f>SUM(AU58:AU60)</f>
        <v>0</v>
      </c>
      <c r="AV57" s="101"/>
      <c r="AW57" s="101"/>
      <c r="AX57" s="487"/>
      <c r="AY57" s="101"/>
      <c r="AZ57" s="101">
        <f>SUM(AZ58:AZ60)</f>
        <v>0</v>
      </c>
      <c r="BA57" s="101"/>
      <c r="BB57" s="101"/>
      <c r="BC57" s="487"/>
      <c r="BD57" s="101"/>
      <c r="BE57" s="101">
        <f>SUM(BE58:BE60)</f>
        <v>0</v>
      </c>
      <c r="BF57" s="101"/>
      <c r="BG57" s="101"/>
      <c r="BH57" s="487"/>
      <c r="BI57" s="101"/>
      <c r="BJ57" s="101">
        <f>SUM(BJ58:BJ60)</f>
        <v>0</v>
      </c>
      <c r="BK57" s="101"/>
      <c r="BL57" s="101"/>
      <c r="BM57" s="487"/>
      <c r="BN57" s="101"/>
      <c r="BO57" s="101">
        <f>SUM(BO58:BO60)</f>
        <v>0</v>
      </c>
      <c r="BP57" s="101"/>
      <c r="BQ57" s="101"/>
      <c r="BR57" s="487"/>
      <c r="BS57" s="101"/>
      <c r="BT57" s="101">
        <f>SUM(BT58:BT60)</f>
        <v>5008164</v>
      </c>
      <c r="BU57" s="101"/>
      <c r="BV57" s="101"/>
      <c r="BW57" s="398"/>
    </row>
    <row r="58" spans="1:78" ht="12.75" customHeight="1" x14ac:dyDescent="0.3">
      <c r="A58" s="388"/>
      <c r="B58" s="388"/>
      <c r="C58" s="388"/>
      <c r="D58" s="398" t="s">
        <v>373</v>
      </c>
      <c r="E58" s="404"/>
      <c r="F58" s="488"/>
      <c r="G58" s="485">
        <v>0</v>
      </c>
      <c r="H58" s="486"/>
      <c r="I58" s="101"/>
      <c r="J58" s="487"/>
      <c r="K58" s="488"/>
      <c r="L58" s="485">
        <v>0</v>
      </c>
      <c r="M58" s="486"/>
      <c r="N58" s="101"/>
      <c r="O58" s="487"/>
      <c r="P58" s="488"/>
      <c r="Q58" s="485">
        <v>0</v>
      </c>
      <c r="R58" s="486"/>
      <c r="S58" s="101"/>
      <c r="T58" s="487"/>
      <c r="U58" s="488"/>
      <c r="V58" s="485">
        <v>0</v>
      </c>
      <c r="W58" s="486"/>
      <c r="X58" s="101"/>
      <c r="Y58" s="487"/>
      <c r="Z58" s="488"/>
      <c r="AA58" s="485">
        <v>0</v>
      </c>
      <c r="AB58" s="486"/>
      <c r="AC58" s="101"/>
      <c r="AD58" s="487"/>
      <c r="AE58" s="488"/>
      <c r="AF58" s="485">
        <v>0</v>
      </c>
      <c r="AG58" s="486"/>
      <c r="AH58" s="101"/>
      <c r="AI58" s="487"/>
      <c r="AJ58" s="488"/>
      <c r="AK58" s="485">
        <v>0</v>
      </c>
      <c r="AL58" s="486"/>
      <c r="AM58" s="101"/>
      <c r="AN58" s="487"/>
      <c r="AO58" s="488"/>
      <c r="AP58" s="485">
        <v>5008164</v>
      </c>
      <c r="AQ58" s="486"/>
      <c r="AR58" s="101"/>
      <c r="AS58" s="487"/>
      <c r="AT58" s="488"/>
      <c r="AU58" s="485">
        <v>0</v>
      </c>
      <c r="AV58" s="486"/>
      <c r="AW58" s="101"/>
      <c r="AX58" s="487"/>
      <c r="AY58" s="488"/>
      <c r="AZ58" s="485">
        <v>0</v>
      </c>
      <c r="BA58" s="486"/>
      <c r="BB58" s="101"/>
      <c r="BC58" s="487"/>
      <c r="BD58" s="488"/>
      <c r="BE58" s="485">
        <v>0</v>
      </c>
      <c r="BF58" s="486"/>
      <c r="BG58" s="101"/>
      <c r="BH58" s="487"/>
      <c r="BI58" s="488"/>
      <c r="BJ58" s="485">
        <v>0</v>
      </c>
      <c r="BK58" s="486"/>
      <c r="BL58" s="101"/>
      <c r="BM58" s="487"/>
      <c r="BN58" s="488"/>
      <c r="BO58" s="485">
        <v>0</v>
      </c>
      <c r="BP58" s="486"/>
      <c r="BQ58" s="101"/>
      <c r="BR58" s="487"/>
      <c r="BS58" s="488"/>
      <c r="BT58" s="485">
        <f>SUM(L58:BO58)</f>
        <v>5008164</v>
      </c>
      <c r="BU58" s="486"/>
      <c r="BV58" s="101"/>
      <c r="BW58" s="398"/>
    </row>
    <row r="59" spans="1:78" ht="12.75" customHeight="1" x14ac:dyDescent="0.3">
      <c r="A59" s="388"/>
      <c r="B59" s="388"/>
      <c r="C59" s="388"/>
      <c r="D59" s="398" t="s">
        <v>375</v>
      </c>
      <c r="E59" s="404"/>
      <c r="F59" s="487"/>
      <c r="G59" s="101">
        <v>0</v>
      </c>
      <c r="H59" s="49"/>
      <c r="I59" s="101"/>
      <c r="J59" s="487"/>
      <c r="K59" s="487"/>
      <c r="L59" s="101">
        <v>0</v>
      </c>
      <c r="M59" s="49"/>
      <c r="N59" s="101"/>
      <c r="O59" s="487"/>
      <c r="P59" s="487"/>
      <c r="Q59" s="101">
        <v>0</v>
      </c>
      <c r="R59" s="49"/>
      <c r="S59" s="101"/>
      <c r="T59" s="487"/>
      <c r="U59" s="487"/>
      <c r="V59" s="101">
        <v>0</v>
      </c>
      <c r="W59" s="49"/>
      <c r="X59" s="101"/>
      <c r="Y59" s="487"/>
      <c r="Z59" s="487"/>
      <c r="AA59" s="101">
        <v>0</v>
      </c>
      <c r="AB59" s="49"/>
      <c r="AC59" s="101"/>
      <c r="AD59" s="487"/>
      <c r="AE59" s="487"/>
      <c r="AF59" s="101">
        <v>0</v>
      </c>
      <c r="AG59" s="49"/>
      <c r="AH59" s="101"/>
      <c r="AI59" s="487"/>
      <c r="AJ59" s="487"/>
      <c r="AK59" s="101">
        <v>0</v>
      </c>
      <c r="AL59" s="49"/>
      <c r="AM59" s="101"/>
      <c r="AN59" s="487"/>
      <c r="AO59" s="487"/>
      <c r="AP59" s="101">
        <v>0</v>
      </c>
      <c r="AQ59" s="49"/>
      <c r="AR59" s="101"/>
      <c r="AS59" s="487"/>
      <c r="AT59" s="487"/>
      <c r="AU59" s="101">
        <v>0</v>
      </c>
      <c r="AV59" s="49"/>
      <c r="AW59" s="101"/>
      <c r="AX59" s="487"/>
      <c r="AY59" s="487"/>
      <c r="AZ59" s="101">
        <v>0</v>
      </c>
      <c r="BA59" s="49"/>
      <c r="BB59" s="101"/>
      <c r="BC59" s="487"/>
      <c r="BD59" s="487"/>
      <c r="BE59" s="101">
        <v>0</v>
      </c>
      <c r="BF59" s="49"/>
      <c r="BG59" s="101"/>
      <c r="BH59" s="487"/>
      <c r="BI59" s="487"/>
      <c r="BJ59" s="101">
        <v>0</v>
      </c>
      <c r="BK59" s="49"/>
      <c r="BL59" s="101"/>
      <c r="BM59" s="487"/>
      <c r="BN59" s="487"/>
      <c r="BO59" s="101">
        <v>0</v>
      </c>
      <c r="BP59" s="49"/>
      <c r="BQ59" s="101"/>
      <c r="BR59" s="487"/>
      <c r="BS59" s="487"/>
      <c r="BT59" s="101">
        <f>SUM(L59:BO59)</f>
        <v>0</v>
      </c>
      <c r="BU59" s="49"/>
      <c r="BV59" s="101"/>
      <c r="BW59" s="398"/>
    </row>
    <row r="60" spans="1:78" ht="12.75" customHeight="1" x14ac:dyDescent="0.3">
      <c r="A60" s="388"/>
      <c r="B60" s="388"/>
      <c r="C60" s="388"/>
      <c r="D60" s="398" t="s">
        <v>383</v>
      </c>
      <c r="E60" s="404"/>
      <c r="F60" s="497"/>
      <c r="G60" s="496">
        <v>0</v>
      </c>
      <c r="H60" s="90"/>
      <c r="I60" s="101"/>
      <c r="J60" s="487"/>
      <c r="K60" s="497"/>
      <c r="L60" s="496">
        <v>0</v>
      </c>
      <c r="M60" s="90"/>
      <c r="N60" s="101"/>
      <c r="O60" s="487"/>
      <c r="P60" s="497"/>
      <c r="Q60" s="496">
        <v>0</v>
      </c>
      <c r="R60" s="90"/>
      <c r="S60" s="101"/>
      <c r="T60" s="487"/>
      <c r="U60" s="497"/>
      <c r="V60" s="496">
        <v>0</v>
      </c>
      <c r="W60" s="90"/>
      <c r="X60" s="101"/>
      <c r="Y60" s="487"/>
      <c r="Z60" s="497"/>
      <c r="AA60" s="496">
        <v>0</v>
      </c>
      <c r="AB60" s="90"/>
      <c r="AC60" s="101"/>
      <c r="AD60" s="487"/>
      <c r="AE60" s="497"/>
      <c r="AF60" s="496">
        <v>0</v>
      </c>
      <c r="AG60" s="90"/>
      <c r="AH60" s="101"/>
      <c r="AI60" s="487"/>
      <c r="AJ60" s="497"/>
      <c r="AK60" s="496">
        <v>0</v>
      </c>
      <c r="AL60" s="90"/>
      <c r="AM60" s="101"/>
      <c r="AN60" s="487"/>
      <c r="AO60" s="497"/>
      <c r="AP60" s="496">
        <v>0</v>
      </c>
      <c r="AQ60" s="90"/>
      <c r="AR60" s="101"/>
      <c r="AS60" s="487"/>
      <c r="AT60" s="497"/>
      <c r="AU60" s="496">
        <v>0</v>
      </c>
      <c r="AV60" s="90"/>
      <c r="AW60" s="101"/>
      <c r="AX60" s="487"/>
      <c r="AY60" s="497"/>
      <c r="AZ60" s="496">
        <v>0</v>
      </c>
      <c r="BA60" s="90"/>
      <c r="BB60" s="101"/>
      <c r="BC60" s="487"/>
      <c r="BD60" s="497"/>
      <c r="BE60" s="496">
        <v>0</v>
      </c>
      <c r="BF60" s="90"/>
      <c r="BG60" s="101"/>
      <c r="BH60" s="487"/>
      <c r="BI60" s="497"/>
      <c r="BJ60" s="496">
        <v>0</v>
      </c>
      <c r="BK60" s="90"/>
      <c r="BL60" s="101"/>
      <c r="BM60" s="487"/>
      <c r="BN60" s="497"/>
      <c r="BO60" s="496">
        <v>0</v>
      </c>
      <c r="BP60" s="90"/>
      <c r="BQ60" s="101"/>
      <c r="BR60" s="487"/>
      <c r="BS60" s="497"/>
      <c r="BT60" s="496">
        <f>SUM(L60:BO60)</f>
        <v>0</v>
      </c>
      <c r="BU60" s="90"/>
      <c r="BV60" s="101"/>
      <c r="BW60" s="398"/>
    </row>
    <row r="61" spans="1:78" ht="12.75" customHeight="1" x14ac:dyDescent="0.3">
      <c r="A61" s="388"/>
      <c r="B61" s="388"/>
      <c r="C61" s="388"/>
      <c r="D61" s="398"/>
      <c r="E61" s="404"/>
      <c r="F61" s="388"/>
      <c r="G61" s="101"/>
      <c r="H61" s="101"/>
      <c r="I61" s="101"/>
      <c r="J61" s="487"/>
      <c r="K61" s="101"/>
      <c r="L61" s="101"/>
      <c r="M61" s="101"/>
      <c r="N61" s="101"/>
      <c r="O61" s="487"/>
      <c r="P61" s="101"/>
      <c r="Q61" s="101"/>
      <c r="R61" s="101"/>
      <c r="S61" s="101"/>
      <c r="T61" s="487"/>
      <c r="U61" s="101"/>
      <c r="V61" s="101"/>
      <c r="W61" s="101"/>
      <c r="X61" s="101"/>
      <c r="Y61" s="487"/>
      <c r="Z61" s="101"/>
      <c r="AA61" s="101"/>
      <c r="AB61" s="101"/>
      <c r="AC61" s="101"/>
      <c r="AD61" s="487"/>
      <c r="AE61" s="101"/>
      <c r="AF61" s="101"/>
      <c r="AG61" s="101"/>
      <c r="AH61" s="101"/>
      <c r="AI61" s="487"/>
      <c r="AJ61" s="101"/>
      <c r="AK61" s="101"/>
      <c r="AL61" s="101"/>
      <c r="AM61" s="101"/>
      <c r="AN61" s="487"/>
      <c r="AO61" s="101"/>
      <c r="AP61" s="101"/>
      <c r="AQ61" s="101"/>
      <c r="AR61" s="101"/>
      <c r="AS61" s="487"/>
      <c r="AT61" s="101"/>
      <c r="AU61" s="101"/>
      <c r="AV61" s="101"/>
      <c r="AW61" s="101"/>
      <c r="AX61" s="487"/>
      <c r="AY61" s="101"/>
      <c r="AZ61" s="101"/>
      <c r="BA61" s="101"/>
      <c r="BB61" s="101"/>
      <c r="BC61" s="487"/>
      <c r="BD61" s="101"/>
      <c r="BE61" s="101"/>
      <c r="BF61" s="101"/>
      <c r="BG61" s="101"/>
      <c r="BH61" s="487"/>
      <c r="BI61" s="101"/>
      <c r="BJ61" s="101"/>
      <c r="BK61" s="101"/>
      <c r="BL61" s="101"/>
      <c r="BM61" s="487"/>
      <c r="BN61" s="101"/>
      <c r="BO61" s="101"/>
      <c r="BP61" s="101"/>
      <c r="BQ61" s="101"/>
      <c r="BR61" s="487"/>
      <c r="BS61" s="101"/>
      <c r="BT61" s="101"/>
      <c r="BU61" s="101"/>
      <c r="BV61" s="101"/>
      <c r="BW61" s="398"/>
    </row>
    <row r="62" spans="1:78" s="411" customFormat="1" ht="12.75" hidden="1" customHeight="1" x14ac:dyDescent="0.2">
      <c r="A62" s="389"/>
      <c r="B62" s="389"/>
      <c r="C62" s="389"/>
      <c r="D62" s="405" t="s">
        <v>483</v>
      </c>
      <c r="E62" s="407"/>
      <c r="F62" s="389"/>
      <c r="G62" s="482">
        <f>SUM(G63:G65)</f>
        <v>0</v>
      </c>
      <c r="H62" s="482"/>
      <c r="I62" s="482"/>
      <c r="J62" s="483"/>
      <c r="K62" s="482"/>
      <c r="L62" s="482">
        <f>SUM(L63:L65)</f>
        <v>0</v>
      </c>
      <c r="M62" s="482"/>
      <c r="N62" s="482"/>
      <c r="O62" s="483"/>
      <c r="P62" s="482"/>
      <c r="Q62" s="482">
        <f>SUM(Q63:Q65)</f>
        <v>0</v>
      </c>
      <c r="R62" s="482"/>
      <c r="S62" s="482"/>
      <c r="T62" s="483"/>
      <c r="U62" s="482"/>
      <c r="V62" s="482">
        <f>SUM(V63:V65)</f>
        <v>0</v>
      </c>
      <c r="W62" s="482"/>
      <c r="X62" s="482"/>
      <c r="Y62" s="483"/>
      <c r="Z62" s="482"/>
      <c r="AA62" s="482">
        <f>SUM(AA63:AA65)</f>
        <v>0</v>
      </c>
      <c r="AB62" s="482"/>
      <c r="AC62" s="482"/>
      <c r="AD62" s="483"/>
      <c r="AE62" s="482"/>
      <c r="AF62" s="482">
        <f>SUM(AF63:AF65)</f>
        <v>0</v>
      </c>
      <c r="AG62" s="482"/>
      <c r="AH62" s="482"/>
      <c r="AI62" s="483"/>
      <c r="AJ62" s="482"/>
      <c r="AK62" s="482">
        <f>SUM(AK63:AK65)</f>
        <v>0</v>
      </c>
      <c r="AL62" s="482"/>
      <c r="AM62" s="482"/>
      <c r="AN62" s="483"/>
      <c r="AO62" s="482"/>
      <c r="AP62" s="482">
        <f>SUM(AP63:AP65)</f>
        <v>0</v>
      </c>
      <c r="AQ62" s="482"/>
      <c r="AR62" s="482"/>
      <c r="AS62" s="483"/>
      <c r="AT62" s="482"/>
      <c r="AU62" s="482">
        <f>SUM(AU63:AU65)</f>
        <v>0</v>
      </c>
      <c r="AV62" s="482"/>
      <c r="AW62" s="482"/>
      <c r="AX62" s="483"/>
      <c r="AY62" s="482"/>
      <c r="AZ62" s="482">
        <f>SUM(AZ63:AZ65)</f>
        <v>0</v>
      </c>
      <c r="BA62" s="482"/>
      <c r="BB62" s="482"/>
      <c r="BC62" s="483"/>
      <c r="BD62" s="482"/>
      <c r="BE62" s="482">
        <f>SUM(BE63:BE65)</f>
        <v>0</v>
      </c>
      <c r="BF62" s="482"/>
      <c r="BG62" s="482"/>
      <c r="BH62" s="483"/>
      <c r="BI62" s="482"/>
      <c r="BJ62" s="482">
        <f>SUM(BJ63:BJ65)</f>
        <v>0</v>
      </c>
      <c r="BK62" s="482"/>
      <c r="BL62" s="482"/>
      <c r="BM62" s="483"/>
      <c r="BN62" s="482"/>
      <c r="BO62" s="482">
        <f>SUM(BO63:BO65)</f>
        <v>0</v>
      </c>
      <c r="BP62" s="482"/>
      <c r="BQ62" s="482"/>
      <c r="BR62" s="483"/>
      <c r="BS62" s="482"/>
      <c r="BT62" s="482">
        <f>SUM(BT63:BT65)</f>
        <v>0</v>
      </c>
      <c r="BU62" s="482"/>
      <c r="BV62" s="482"/>
      <c r="BW62" s="405"/>
      <c r="BY62" s="38"/>
      <c r="BZ62" s="38"/>
    </row>
    <row r="63" spans="1:78" ht="12.75" hidden="1" customHeight="1" x14ac:dyDescent="0.2">
      <c r="A63" s="388"/>
      <c r="B63" s="388"/>
      <c r="C63" s="388"/>
      <c r="D63" s="398" t="s">
        <v>373</v>
      </c>
      <c r="E63" s="404"/>
      <c r="F63" s="412"/>
      <c r="G63" s="485">
        <v>0</v>
      </c>
      <c r="H63" s="486"/>
      <c r="I63" s="101"/>
      <c r="J63" s="487"/>
      <c r="K63" s="488"/>
      <c r="L63" s="485">
        <f>L68</f>
        <v>0</v>
      </c>
      <c r="M63" s="486"/>
      <c r="N63" s="101"/>
      <c r="O63" s="487"/>
      <c r="P63" s="488"/>
      <c r="Q63" s="485">
        <f>Q68</f>
        <v>0</v>
      </c>
      <c r="R63" s="486"/>
      <c r="S63" s="101"/>
      <c r="T63" s="487"/>
      <c r="U63" s="488"/>
      <c r="V63" s="485">
        <f>V68</f>
        <v>0</v>
      </c>
      <c r="W63" s="486"/>
      <c r="X63" s="101"/>
      <c r="Y63" s="487"/>
      <c r="Z63" s="488"/>
      <c r="AA63" s="485">
        <f>AA68</f>
        <v>0</v>
      </c>
      <c r="AB63" s="486"/>
      <c r="AC63" s="101"/>
      <c r="AD63" s="487"/>
      <c r="AE63" s="488"/>
      <c r="AF63" s="485">
        <f>AF68</f>
        <v>0</v>
      </c>
      <c r="AG63" s="486"/>
      <c r="AH63" s="101"/>
      <c r="AI63" s="487"/>
      <c r="AJ63" s="488"/>
      <c r="AK63" s="485">
        <f>AK68</f>
        <v>0</v>
      </c>
      <c r="AL63" s="486"/>
      <c r="AM63" s="101"/>
      <c r="AN63" s="487"/>
      <c r="AO63" s="488"/>
      <c r="AP63" s="485">
        <f>AP68</f>
        <v>0</v>
      </c>
      <c r="AQ63" s="486"/>
      <c r="AR63" s="101"/>
      <c r="AS63" s="487"/>
      <c r="AT63" s="488"/>
      <c r="AU63" s="485">
        <f>AU68</f>
        <v>0</v>
      </c>
      <c r="AV63" s="486"/>
      <c r="AW63" s="101"/>
      <c r="AX63" s="487"/>
      <c r="AY63" s="488"/>
      <c r="AZ63" s="485">
        <f>AZ68</f>
        <v>0</v>
      </c>
      <c r="BA63" s="486"/>
      <c r="BB63" s="101"/>
      <c r="BC63" s="487"/>
      <c r="BD63" s="488"/>
      <c r="BE63" s="485">
        <f>BE68</f>
        <v>0</v>
      </c>
      <c r="BF63" s="486"/>
      <c r="BG63" s="101"/>
      <c r="BH63" s="487"/>
      <c r="BI63" s="488"/>
      <c r="BJ63" s="485">
        <f>BJ68</f>
        <v>0</v>
      </c>
      <c r="BK63" s="486"/>
      <c r="BL63" s="101"/>
      <c r="BM63" s="487"/>
      <c r="BN63" s="488"/>
      <c r="BO63" s="485">
        <f>BO68</f>
        <v>0</v>
      </c>
      <c r="BP63" s="486"/>
      <c r="BQ63" s="101"/>
      <c r="BR63" s="487"/>
      <c r="BS63" s="488"/>
      <c r="BT63" s="485">
        <f>BT68</f>
        <v>0</v>
      </c>
      <c r="BU63" s="486"/>
      <c r="BV63" s="101"/>
      <c r="BW63" s="398"/>
    </row>
    <row r="64" spans="1:78" ht="12.75" hidden="1" customHeight="1" x14ac:dyDescent="0.2">
      <c r="A64" s="388"/>
      <c r="B64" s="388"/>
      <c r="C64" s="388"/>
      <c r="D64" s="398" t="s">
        <v>375</v>
      </c>
      <c r="E64" s="404"/>
      <c r="F64" s="404"/>
      <c r="G64" s="101">
        <v>0</v>
      </c>
      <c r="H64" s="49"/>
      <c r="I64" s="101"/>
      <c r="J64" s="487"/>
      <c r="K64" s="487"/>
      <c r="L64" s="101">
        <f>L69</f>
        <v>0</v>
      </c>
      <c r="M64" s="49"/>
      <c r="N64" s="101"/>
      <c r="O64" s="487"/>
      <c r="P64" s="487"/>
      <c r="Q64" s="101">
        <f>Q69</f>
        <v>0</v>
      </c>
      <c r="R64" s="49"/>
      <c r="S64" s="101"/>
      <c r="T64" s="487"/>
      <c r="U64" s="487"/>
      <c r="V64" s="101">
        <f>V69</f>
        <v>0</v>
      </c>
      <c r="W64" s="49"/>
      <c r="X64" s="101"/>
      <c r="Y64" s="487"/>
      <c r="Z64" s="487"/>
      <c r="AA64" s="101">
        <f>AA69</f>
        <v>0</v>
      </c>
      <c r="AB64" s="49"/>
      <c r="AC64" s="101"/>
      <c r="AD64" s="487"/>
      <c r="AE64" s="487"/>
      <c r="AF64" s="101">
        <f>AF69</f>
        <v>0</v>
      </c>
      <c r="AG64" s="49"/>
      <c r="AH64" s="101"/>
      <c r="AI64" s="487"/>
      <c r="AJ64" s="487"/>
      <c r="AK64" s="101">
        <f>AK69</f>
        <v>0</v>
      </c>
      <c r="AL64" s="49"/>
      <c r="AM64" s="101"/>
      <c r="AN64" s="487"/>
      <c r="AO64" s="487"/>
      <c r="AP64" s="101">
        <f>AP69</f>
        <v>0</v>
      </c>
      <c r="AQ64" s="49"/>
      <c r="AR64" s="101"/>
      <c r="AS64" s="487"/>
      <c r="AT64" s="487"/>
      <c r="AU64" s="101">
        <f>AU69</f>
        <v>0</v>
      </c>
      <c r="AV64" s="49"/>
      <c r="AW64" s="101"/>
      <c r="AX64" s="487"/>
      <c r="AY64" s="487"/>
      <c r="AZ64" s="101">
        <f>AZ69</f>
        <v>0</v>
      </c>
      <c r="BA64" s="49"/>
      <c r="BB64" s="101"/>
      <c r="BC64" s="487"/>
      <c r="BD64" s="487"/>
      <c r="BE64" s="101">
        <f>BE69</f>
        <v>0</v>
      </c>
      <c r="BF64" s="49"/>
      <c r="BG64" s="101"/>
      <c r="BH64" s="487"/>
      <c r="BI64" s="487"/>
      <c r="BJ64" s="101">
        <f>BJ69</f>
        <v>0</v>
      </c>
      <c r="BK64" s="49"/>
      <c r="BL64" s="101"/>
      <c r="BM64" s="487"/>
      <c r="BN64" s="487"/>
      <c r="BO64" s="101">
        <f>BO69</f>
        <v>0</v>
      </c>
      <c r="BP64" s="49"/>
      <c r="BQ64" s="101"/>
      <c r="BR64" s="487"/>
      <c r="BS64" s="487"/>
      <c r="BT64" s="101">
        <f>BT69</f>
        <v>0</v>
      </c>
      <c r="BU64" s="49"/>
      <c r="BV64" s="101"/>
      <c r="BW64" s="398"/>
    </row>
    <row r="65" spans="1:78" ht="12.75" hidden="1" customHeight="1" x14ac:dyDescent="0.2">
      <c r="A65" s="388"/>
      <c r="B65" s="388"/>
      <c r="C65" s="388"/>
      <c r="D65" s="398" t="s">
        <v>383</v>
      </c>
      <c r="E65" s="404"/>
      <c r="F65" s="427"/>
      <c r="G65" s="496">
        <v>0</v>
      </c>
      <c r="H65" s="90"/>
      <c r="I65" s="101"/>
      <c r="J65" s="487"/>
      <c r="K65" s="497"/>
      <c r="L65" s="496">
        <f>L70</f>
        <v>0</v>
      </c>
      <c r="M65" s="90"/>
      <c r="N65" s="101"/>
      <c r="O65" s="487"/>
      <c r="P65" s="497"/>
      <c r="Q65" s="496">
        <f>Q70</f>
        <v>0</v>
      </c>
      <c r="R65" s="90"/>
      <c r="S65" s="101"/>
      <c r="T65" s="487"/>
      <c r="U65" s="497"/>
      <c r="V65" s="496">
        <f>V70</f>
        <v>0</v>
      </c>
      <c r="W65" s="90"/>
      <c r="X65" s="101"/>
      <c r="Y65" s="487"/>
      <c r="Z65" s="497"/>
      <c r="AA65" s="496">
        <f>AA70</f>
        <v>0</v>
      </c>
      <c r="AB65" s="90"/>
      <c r="AC65" s="101"/>
      <c r="AD65" s="487"/>
      <c r="AE65" s="497"/>
      <c r="AF65" s="496">
        <f>AF70</f>
        <v>0</v>
      </c>
      <c r="AG65" s="90"/>
      <c r="AH65" s="101"/>
      <c r="AI65" s="487"/>
      <c r="AJ65" s="497"/>
      <c r="AK65" s="496">
        <f>AK70</f>
        <v>0</v>
      </c>
      <c r="AL65" s="90"/>
      <c r="AM65" s="101"/>
      <c r="AN65" s="487"/>
      <c r="AO65" s="497"/>
      <c r="AP65" s="496">
        <f>AP70</f>
        <v>0</v>
      </c>
      <c r="AQ65" s="90"/>
      <c r="AR65" s="101"/>
      <c r="AS65" s="487"/>
      <c r="AT65" s="497"/>
      <c r="AU65" s="496">
        <f>AU70</f>
        <v>0</v>
      </c>
      <c r="AV65" s="90"/>
      <c r="AW65" s="101"/>
      <c r="AX65" s="487"/>
      <c r="AY65" s="497"/>
      <c r="AZ65" s="496">
        <f>AZ70</f>
        <v>0</v>
      </c>
      <c r="BA65" s="90"/>
      <c r="BB65" s="101"/>
      <c r="BC65" s="487"/>
      <c r="BD65" s="497"/>
      <c r="BE65" s="496">
        <f>BE70</f>
        <v>0</v>
      </c>
      <c r="BF65" s="90"/>
      <c r="BG65" s="101"/>
      <c r="BH65" s="487"/>
      <c r="BI65" s="497"/>
      <c r="BJ65" s="496">
        <f>BJ70</f>
        <v>0</v>
      </c>
      <c r="BK65" s="90"/>
      <c r="BL65" s="101"/>
      <c r="BM65" s="487"/>
      <c r="BN65" s="497"/>
      <c r="BO65" s="496">
        <f>BO70</f>
        <v>0</v>
      </c>
      <c r="BP65" s="90"/>
      <c r="BQ65" s="101"/>
      <c r="BR65" s="487"/>
      <c r="BS65" s="497"/>
      <c r="BT65" s="496">
        <f>BT70</f>
        <v>0</v>
      </c>
      <c r="BU65" s="90"/>
      <c r="BV65" s="101"/>
      <c r="BW65" s="398"/>
    </row>
    <row r="66" spans="1:78" ht="12.75" hidden="1" customHeight="1" x14ac:dyDescent="0.2">
      <c r="A66" s="388"/>
      <c r="B66" s="388"/>
      <c r="C66" s="388"/>
      <c r="D66" s="398"/>
      <c r="E66" s="404"/>
      <c r="F66" s="388"/>
      <c r="G66" s="101"/>
      <c r="H66" s="101"/>
      <c r="I66" s="101"/>
      <c r="J66" s="487"/>
      <c r="K66" s="101"/>
      <c r="L66" s="101"/>
      <c r="M66" s="101"/>
      <c r="N66" s="101"/>
      <c r="O66" s="487"/>
      <c r="P66" s="101"/>
      <c r="Q66" s="101"/>
      <c r="R66" s="101"/>
      <c r="S66" s="101"/>
      <c r="T66" s="487"/>
      <c r="U66" s="101"/>
      <c r="V66" s="101"/>
      <c r="W66" s="101"/>
      <c r="X66" s="101"/>
      <c r="Y66" s="487"/>
      <c r="Z66" s="101"/>
      <c r="AA66" s="101"/>
      <c r="AB66" s="101"/>
      <c r="AC66" s="101"/>
      <c r="AD66" s="487"/>
      <c r="AE66" s="101"/>
      <c r="AF66" s="101"/>
      <c r="AG66" s="101"/>
      <c r="AH66" s="101"/>
      <c r="AI66" s="487"/>
      <c r="AJ66" s="101"/>
      <c r="AK66" s="101"/>
      <c r="AL66" s="101"/>
      <c r="AM66" s="101"/>
      <c r="AN66" s="487"/>
      <c r="AO66" s="101"/>
      <c r="AP66" s="101"/>
      <c r="AQ66" s="101"/>
      <c r="AR66" s="101"/>
      <c r="AS66" s="487"/>
      <c r="AT66" s="101"/>
      <c r="AU66" s="101"/>
      <c r="AV66" s="101"/>
      <c r="AW66" s="101"/>
      <c r="AX66" s="487"/>
      <c r="AY66" s="101"/>
      <c r="AZ66" s="101"/>
      <c r="BA66" s="101"/>
      <c r="BB66" s="101"/>
      <c r="BC66" s="487"/>
      <c r="BD66" s="101"/>
      <c r="BE66" s="101"/>
      <c r="BF66" s="101"/>
      <c r="BG66" s="101"/>
      <c r="BH66" s="487"/>
      <c r="BI66" s="101"/>
      <c r="BJ66" s="101"/>
      <c r="BK66" s="101"/>
      <c r="BL66" s="101"/>
      <c r="BM66" s="487"/>
      <c r="BN66" s="101"/>
      <c r="BO66" s="101"/>
      <c r="BP66" s="101"/>
      <c r="BQ66" s="101"/>
      <c r="BR66" s="487"/>
      <c r="BS66" s="101"/>
      <c r="BT66" s="101"/>
      <c r="BU66" s="101"/>
      <c r="BV66" s="101"/>
      <c r="BW66" s="398"/>
    </row>
    <row r="67" spans="1:78" ht="12.75" hidden="1" customHeight="1" x14ac:dyDescent="0.2">
      <c r="A67" s="388"/>
      <c r="B67" s="388"/>
      <c r="C67" s="388"/>
      <c r="D67" s="398" t="s">
        <v>484</v>
      </c>
      <c r="E67" s="404"/>
      <c r="F67" s="388"/>
      <c r="G67" s="101">
        <v>0</v>
      </c>
      <c r="H67" s="101"/>
      <c r="I67" s="101"/>
      <c r="J67" s="487"/>
      <c r="K67" s="101"/>
      <c r="L67" s="101">
        <f>SUM(L68:L70)</f>
        <v>0</v>
      </c>
      <c r="M67" s="101"/>
      <c r="N67" s="101"/>
      <c r="O67" s="487"/>
      <c r="P67" s="101"/>
      <c r="Q67" s="101">
        <f>SUM(Q68:Q70)</f>
        <v>0</v>
      </c>
      <c r="R67" s="101"/>
      <c r="S67" s="101"/>
      <c r="T67" s="487"/>
      <c r="U67" s="101"/>
      <c r="V67" s="101">
        <f>SUM(V68:V70)</f>
        <v>0</v>
      </c>
      <c r="W67" s="101"/>
      <c r="X67" s="101"/>
      <c r="Y67" s="487"/>
      <c r="Z67" s="101"/>
      <c r="AA67" s="101">
        <f>SUM(AA68:AA70)</f>
        <v>0</v>
      </c>
      <c r="AB67" s="101"/>
      <c r="AC67" s="101"/>
      <c r="AD67" s="487"/>
      <c r="AE67" s="101"/>
      <c r="AF67" s="101">
        <f>SUM(AF68:AF70)</f>
        <v>0</v>
      </c>
      <c r="AG67" s="101"/>
      <c r="AH67" s="101"/>
      <c r="AI67" s="487"/>
      <c r="AJ67" s="101"/>
      <c r="AK67" s="101">
        <f>SUM(AK68:AK70)</f>
        <v>0</v>
      </c>
      <c r="AL67" s="101"/>
      <c r="AM67" s="101"/>
      <c r="AN67" s="487"/>
      <c r="AO67" s="101"/>
      <c r="AP67" s="101">
        <f>SUM(AP68:AP70)</f>
        <v>0</v>
      </c>
      <c r="AQ67" s="101"/>
      <c r="AR67" s="101"/>
      <c r="AS67" s="487"/>
      <c r="AT67" s="101"/>
      <c r="AU67" s="101">
        <f>SUM(AU68:AU70)</f>
        <v>0</v>
      </c>
      <c r="AV67" s="101"/>
      <c r="AW67" s="101"/>
      <c r="AX67" s="487"/>
      <c r="AY67" s="101"/>
      <c r="AZ67" s="101">
        <f>SUM(AZ68:AZ70)</f>
        <v>0</v>
      </c>
      <c r="BA67" s="101"/>
      <c r="BB67" s="101"/>
      <c r="BC67" s="487"/>
      <c r="BD67" s="101"/>
      <c r="BE67" s="101">
        <f>SUM(BE68:BE70)</f>
        <v>0</v>
      </c>
      <c r="BF67" s="101"/>
      <c r="BG67" s="101"/>
      <c r="BH67" s="487"/>
      <c r="BI67" s="101"/>
      <c r="BJ67" s="101">
        <f>SUM(BJ68:BJ70)</f>
        <v>0</v>
      </c>
      <c r="BK67" s="101"/>
      <c r="BL67" s="101"/>
      <c r="BM67" s="487"/>
      <c r="BN67" s="101"/>
      <c r="BO67" s="101">
        <f>SUM(BO68:BO70)</f>
        <v>0</v>
      </c>
      <c r="BP67" s="101"/>
      <c r="BQ67" s="101"/>
      <c r="BR67" s="487"/>
      <c r="BS67" s="101"/>
      <c r="BT67" s="101">
        <f>SUM(BT68:BT70)</f>
        <v>0</v>
      </c>
      <c r="BU67" s="101"/>
      <c r="BV67" s="101"/>
      <c r="BW67" s="398"/>
    </row>
    <row r="68" spans="1:78" ht="12.75" hidden="1" customHeight="1" x14ac:dyDescent="0.2">
      <c r="A68" s="388"/>
      <c r="B68" s="388"/>
      <c r="C68" s="388"/>
      <c r="D68" s="398" t="s">
        <v>373</v>
      </c>
      <c r="E68" s="404"/>
      <c r="F68" s="412"/>
      <c r="G68" s="485">
        <v>0</v>
      </c>
      <c r="H68" s="486"/>
      <c r="I68" s="101"/>
      <c r="J68" s="487"/>
      <c r="K68" s="488"/>
      <c r="L68" s="485">
        <v>0</v>
      </c>
      <c r="M68" s="486"/>
      <c r="N68" s="101"/>
      <c r="O68" s="487"/>
      <c r="P68" s="488"/>
      <c r="Q68" s="485">
        <v>0</v>
      </c>
      <c r="R68" s="486"/>
      <c r="S68" s="101"/>
      <c r="T68" s="487"/>
      <c r="U68" s="488"/>
      <c r="V68" s="485">
        <v>0</v>
      </c>
      <c r="W68" s="486"/>
      <c r="X68" s="101"/>
      <c r="Y68" s="487"/>
      <c r="Z68" s="488"/>
      <c r="AA68" s="485">
        <v>0</v>
      </c>
      <c r="AB68" s="486"/>
      <c r="AC68" s="101"/>
      <c r="AD68" s="487"/>
      <c r="AE68" s="488"/>
      <c r="AF68" s="485">
        <v>0</v>
      </c>
      <c r="AG68" s="486"/>
      <c r="AH68" s="101"/>
      <c r="AI68" s="487"/>
      <c r="AJ68" s="488"/>
      <c r="AK68" s="485">
        <v>0</v>
      </c>
      <c r="AL68" s="486"/>
      <c r="AM68" s="101"/>
      <c r="AN68" s="487"/>
      <c r="AO68" s="488"/>
      <c r="AP68" s="485">
        <v>0</v>
      </c>
      <c r="AQ68" s="486"/>
      <c r="AR68" s="101"/>
      <c r="AS68" s="487"/>
      <c r="AT68" s="488"/>
      <c r="AU68" s="485">
        <v>0</v>
      </c>
      <c r="AV68" s="486"/>
      <c r="AW68" s="101"/>
      <c r="AX68" s="487"/>
      <c r="AY68" s="488"/>
      <c r="AZ68" s="485">
        <v>0</v>
      </c>
      <c r="BA68" s="486"/>
      <c r="BB68" s="101"/>
      <c r="BC68" s="487"/>
      <c r="BD68" s="488"/>
      <c r="BE68" s="485">
        <v>0</v>
      </c>
      <c r="BF68" s="486"/>
      <c r="BG68" s="101"/>
      <c r="BH68" s="487"/>
      <c r="BI68" s="488"/>
      <c r="BJ68" s="485">
        <v>0</v>
      </c>
      <c r="BK68" s="486"/>
      <c r="BL68" s="101"/>
      <c r="BM68" s="487"/>
      <c r="BN68" s="488"/>
      <c r="BO68" s="485">
        <v>0</v>
      </c>
      <c r="BP68" s="486"/>
      <c r="BQ68" s="101"/>
      <c r="BR68" s="487"/>
      <c r="BS68" s="488"/>
      <c r="BT68" s="485">
        <f>SUM(L68:BO68)</f>
        <v>0</v>
      </c>
      <c r="BU68" s="486"/>
      <c r="BV68" s="101"/>
      <c r="BW68" s="398"/>
    </row>
    <row r="69" spans="1:78" ht="12.75" hidden="1" customHeight="1" x14ac:dyDescent="0.2">
      <c r="A69" s="388"/>
      <c r="B69" s="388"/>
      <c r="C69" s="388"/>
      <c r="D69" s="398" t="s">
        <v>375</v>
      </c>
      <c r="E69" s="404"/>
      <c r="F69" s="404"/>
      <c r="G69" s="101">
        <v>0</v>
      </c>
      <c r="H69" s="49"/>
      <c r="I69" s="101"/>
      <c r="J69" s="487"/>
      <c r="K69" s="487"/>
      <c r="L69" s="101">
        <v>0</v>
      </c>
      <c r="M69" s="49"/>
      <c r="N69" s="101"/>
      <c r="O69" s="487"/>
      <c r="P69" s="487"/>
      <c r="Q69" s="101">
        <v>0</v>
      </c>
      <c r="R69" s="49"/>
      <c r="S69" s="101"/>
      <c r="T69" s="487"/>
      <c r="U69" s="487"/>
      <c r="V69" s="101">
        <v>0</v>
      </c>
      <c r="W69" s="49"/>
      <c r="X69" s="101"/>
      <c r="Y69" s="487"/>
      <c r="Z69" s="487"/>
      <c r="AA69" s="101">
        <v>0</v>
      </c>
      <c r="AB69" s="49"/>
      <c r="AC69" s="101"/>
      <c r="AD69" s="487"/>
      <c r="AE69" s="487"/>
      <c r="AF69" s="101">
        <v>0</v>
      </c>
      <c r="AG69" s="49"/>
      <c r="AH69" s="101"/>
      <c r="AI69" s="487"/>
      <c r="AJ69" s="487"/>
      <c r="AK69" s="101">
        <v>0</v>
      </c>
      <c r="AL69" s="49"/>
      <c r="AM69" s="101"/>
      <c r="AN69" s="487"/>
      <c r="AO69" s="487"/>
      <c r="AP69" s="101">
        <v>0</v>
      </c>
      <c r="AQ69" s="49"/>
      <c r="AR69" s="101"/>
      <c r="AS69" s="487"/>
      <c r="AT69" s="487"/>
      <c r="AU69" s="101">
        <v>0</v>
      </c>
      <c r="AV69" s="49"/>
      <c r="AW69" s="101"/>
      <c r="AX69" s="487"/>
      <c r="AY69" s="487"/>
      <c r="AZ69" s="101">
        <v>0</v>
      </c>
      <c r="BA69" s="49"/>
      <c r="BB69" s="101"/>
      <c r="BC69" s="487"/>
      <c r="BD69" s="487"/>
      <c r="BE69" s="101">
        <v>0</v>
      </c>
      <c r="BF69" s="49"/>
      <c r="BG69" s="101"/>
      <c r="BH69" s="487"/>
      <c r="BI69" s="487"/>
      <c r="BJ69" s="101">
        <v>0</v>
      </c>
      <c r="BK69" s="49"/>
      <c r="BL69" s="101"/>
      <c r="BM69" s="487"/>
      <c r="BN69" s="487"/>
      <c r="BO69" s="101">
        <v>0</v>
      </c>
      <c r="BP69" s="49"/>
      <c r="BQ69" s="101"/>
      <c r="BR69" s="487"/>
      <c r="BS69" s="487"/>
      <c r="BT69" s="101">
        <f>SUM(L69:BO69)</f>
        <v>0</v>
      </c>
      <c r="BU69" s="49"/>
      <c r="BV69" s="101"/>
      <c r="BW69" s="398"/>
    </row>
    <row r="70" spans="1:78" ht="12.75" hidden="1" customHeight="1" x14ac:dyDescent="0.2">
      <c r="A70" s="388"/>
      <c r="B70" s="388"/>
      <c r="C70" s="388"/>
      <c r="D70" s="398" t="s">
        <v>383</v>
      </c>
      <c r="E70" s="404"/>
      <c r="F70" s="427"/>
      <c r="G70" s="496">
        <v>0</v>
      </c>
      <c r="H70" s="90"/>
      <c r="I70" s="101"/>
      <c r="J70" s="487"/>
      <c r="K70" s="497"/>
      <c r="L70" s="496">
        <v>0</v>
      </c>
      <c r="M70" s="90"/>
      <c r="N70" s="101"/>
      <c r="O70" s="487"/>
      <c r="P70" s="497"/>
      <c r="Q70" s="496">
        <v>0</v>
      </c>
      <c r="R70" s="90"/>
      <c r="S70" s="101"/>
      <c r="T70" s="487"/>
      <c r="U70" s="497"/>
      <c r="V70" s="496">
        <v>0</v>
      </c>
      <c r="W70" s="90"/>
      <c r="X70" s="101"/>
      <c r="Y70" s="487"/>
      <c r="Z70" s="497"/>
      <c r="AA70" s="496">
        <v>0</v>
      </c>
      <c r="AB70" s="90"/>
      <c r="AC70" s="101"/>
      <c r="AD70" s="487"/>
      <c r="AE70" s="497"/>
      <c r="AF70" s="496">
        <v>0</v>
      </c>
      <c r="AG70" s="90"/>
      <c r="AH70" s="101"/>
      <c r="AI70" s="487"/>
      <c r="AJ70" s="497"/>
      <c r="AK70" s="496">
        <v>0</v>
      </c>
      <c r="AL70" s="90"/>
      <c r="AM70" s="101"/>
      <c r="AN70" s="487"/>
      <c r="AO70" s="497"/>
      <c r="AP70" s="496">
        <v>0</v>
      </c>
      <c r="AQ70" s="90"/>
      <c r="AR70" s="101"/>
      <c r="AS70" s="487"/>
      <c r="AT70" s="497"/>
      <c r="AU70" s="496">
        <v>0</v>
      </c>
      <c r="AV70" s="90"/>
      <c r="AW70" s="101"/>
      <c r="AX70" s="487"/>
      <c r="AY70" s="497"/>
      <c r="AZ70" s="496">
        <v>0</v>
      </c>
      <c r="BA70" s="90"/>
      <c r="BB70" s="101"/>
      <c r="BC70" s="487"/>
      <c r="BD70" s="497"/>
      <c r="BE70" s="496">
        <v>0</v>
      </c>
      <c r="BF70" s="90"/>
      <c r="BG70" s="101"/>
      <c r="BH70" s="487"/>
      <c r="BI70" s="497"/>
      <c r="BJ70" s="496">
        <v>0</v>
      </c>
      <c r="BK70" s="90"/>
      <c r="BL70" s="101"/>
      <c r="BM70" s="487"/>
      <c r="BN70" s="497"/>
      <c r="BO70" s="496">
        <v>0</v>
      </c>
      <c r="BP70" s="90"/>
      <c r="BQ70" s="101"/>
      <c r="BR70" s="487"/>
      <c r="BS70" s="497"/>
      <c r="BT70" s="496">
        <f>SUM(L70:BO70)</f>
        <v>0</v>
      </c>
      <c r="BU70" s="90"/>
      <c r="BV70" s="101"/>
      <c r="BW70" s="398"/>
    </row>
    <row r="71" spans="1:78" ht="12.75" hidden="1" customHeight="1" x14ac:dyDescent="0.2">
      <c r="A71" s="388"/>
      <c r="B71" s="388"/>
      <c r="C71" s="388"/>
      <c r="D71" s="398"/>
      <c r="E71" s="404"/>
      <c r="F71" s="388"/>
      <c r="G71" s="101"/>
      <c r="H71" s="101"/>
      <c r="I71" s="101"/>
      <c r="J71" s="487"/>
      <c r="K71" s="101"/>
      <c r="L71" s="101"/>
      <c r="M71" s="101"/>
      <c r="N71" s="101"/>
      <c r="O71" s="487"/>
      <c r="P71" s="101"/>
      <c r="Q71" s="101"/>
      <c r="R71" s="101"/>
      <c r="S71" s="101"/>
      <c r="T71" s="487"/>
      <c r="U71" s="101"/>
      <c r="V71" s="101"/>
      <c r="W71" s="101"/>
      <c r="X71" s="101"/>
      <c r="Y71" s="487"/>
      <c r="Z71" s="101"/>
      <c r="AA71" s="101"/>
      <c r="AB71" s="101"/>
      <c r="AC71" s="101"/>
      <c r="AD71" s="487"/>
      <c r="AE71" s="101"/>
      <c r="AF71" s="101"/>
      <c r="AG71" s="101"/>
      <c r="AH71" s="101"/>
      <c r="AI71" s="487"/>
      <c r="AJ71" s="101"/>
      <c r="AK71" s="101"/>
      <c r="AL71" s="101"/>
      <c r="AM71" s="101"/>
      <c r="AN71" s="487"/>
      <c r="AO71" s="101"/>
      <c r="AP71" s="101"/>
      <c r="AQ71" s="101"/>
      <c r="AR71" s="101"/>
      <c r="AS71" s="487"/>
      <c r="AT71" s="101"/>
      <c r="AU71" s="101"/>
      <c r="AV71" s="101"/>
      <c r="AW71" s="101"/>
      <c r="AX71" s="487"/>
      <c r="AY71" s="101"/>
      <c r="AZ71" s="101"/>
      <c r="BA71" s="101"/>
      <c r="BB71" s="101"/>
      <c r="BC71" s="487"/>
      <c r="BD71" s="101"/>
      <c r="BE71" s="101"/>
      <c r="BF71" s="101"/>
      <c r="BG71" s="101"/>
      <c r="BH71" s="487"/>
      <c r="BI71" s="101"/>
      <c r="BJ71" s="101"/>
      <c r="BK71" s="101"/>
      <c r="BL71" s="101"/>
      <c r="BM71" s="487"/>
      <c r="BN71" s="101"/>
      <c r="BO71" s="101"/>
      <c r="BP71" s="101"/>
      <c r="BQ71" s="101"/>
      <c r="BR71" s="487"/>
      <c r="BS71" s="101"/>
      <c r="BT71" s="101"/>
      <c r="BU71" s="101"/>
      <c r="BV71" s="101"/>
      <c r="BW71" s="398"/>
    </row>
    <row r="72" spans="1:78" s="411" customFormat="1" ht="12.75" hidden="1" customHeight="1" x14ac:dyDescent="0.2">
      <c r="A72" s="389"/>
      <c r="B72" s="389"/>
      <c r="C72" s="389"/>
      <c r="D72" s="405" t="s">
        <v>485</v>
      </c>
      <c r="E72" s="407"/>
      <c r="F72" s="389"/>
      <c r="G72" s="482">
        <v>0</v>
      </c>
      <c r="H72" s="482"/>
      <c r="I72" s="482"/>
      <c r="J72" s="483"/>
      <c r="K72" s="482"/>
      <c r="L72" s="482">
        <f>SUM(L73:L75)</f>
        <v>0</v>
      </c>
      <c r="M72" s="482"/>
      <c r="N72" s="482"/>
      <c r="O72" s="483"/>
      <c r="P72" s="482"/>
      <c r="Q72" s="482">
        <f>SUM(Q73:Q75)</f>
        <v>0</v>
      </c>
      <c r="R72" s="482"/>
      <c r="S72" s="482"/>
      <c r="T72" s="483"/>
      <c r="U72" s="482"/>
      <c r="V72" s="482">
        <f>SUM(V73:V75)</f>
        <v>0</v>
      </c>
      <c r="W72" s="482"/>
      <c r="X72" s="482"/>
      <c r="Y72" s="483"/>
      <c r="Z72" s="482"/>
      <c r="AA72" s="482">
        <f>SUM(AA73:AA75)</f>
        <v>0</v>
      </c>
      <c r="AB72" s="482"/>
      <c r="AC72" s="482"/>
      <c r="AD72" s="483"/>
      <c r="AE72" s="482"/>
      <c r="AF72" s="482">
        <f>SUM(AF73:AF75)</f>
        <v>0</v>
      </c>
      <c r="AG72" s="482"/>
      <c r="AH72" s="482"/>
      <c r="AI72" s="483"/>
      <c r="AJ72" s="482"/>
      <c r="AK72" s="482">
        <f>SUM(AK73:AK75)</f>
        <v>0</v>
      </c>
      <c r="AL72" s="482"/>
      <c r="AM72" s="482"/>
      <c r="AN72" s="483"/>
      <c r="AO72" s="482"/>
      <c r="AP72" s="482">
        <f>SUM(AP73:AP75)</f>
        <v>0</v>
      </c>
      <c r="AQ72" s="482"/>
      <c r="AR72" s="482"/>
      <c r="AS72" s="483"/>
      <c r="AT72" s="482"/>
      <c r="AU72" s="482">
        <f>SUM(AU73:AU75)</f>
        <v>0</v>
      </c>
      <c r="AV72" s="482"/>
      <c r="AW72" s="482"/>
      <c r="AX72" s="483"/>
      <c r="AY72" s="482"/>
      <c r="AZ72" s="482">
        <f>SUM(AZ73:AZ75)</f>
        <v>0</v>
      </c>
      <c r="BA72" s="482"/>
      <c r="BB72" s="482"/>
      <c r="BC72" s="483"/>
      <c r="BD72" s="482"/>
      <c r="BE72" s="482">
        <f>SUM(BE73:BE75)</f>
        <v>0</v>
      </c>
      <c r="BF72" s="482"/>
      <c r="BG72" s="482"/>
      <c r="BH72" s="483"/>
      <c r="BI72" s="482"/>
      <c r="BJ72" s="482">
        <f>SUM(BJ73:BJ75)</f>
        <v>0</v>
      </c>
      <c r="BK72" s="482"/>
      <c r="BL72" s="482"/>
      <c r="BM72" s="483"/>
      <c r="BN72" s="482"/>
      <c r="BO72" s="482">
        <f>SUM(BO73:BO75)</f>
        <v>0</v>
      </c>
      <c r="BP72" s="482"/>
      <c r="BQ72" s="482"/>
      <c r="BR72" s="483"/>
      <c r="BS72" s="482"/>
      <c r="BT72" s="482">
        <f>SUM(BT73:BT75)</f>
        <v>0</v>
      </c>
      <c r="BU72" s="482"/>
      <c r="BV72" s="482"/>
      <c r="BW72" s="405"/>
      <c r="BY72" s="38"/>
      <c r="BZ72" s="38"/>
    </row>
    <row r="73" spans="1:78" ht="12.75" hidden="1" customHeight="1" x14ac:dyDescent="0.2">
      <c r="A73" s="388"/>
      <c r="B73" s="388"/>
      <c r="C73" s="388"/>
      <c r="D73" s="398" t="s">
        <v>373</v>
      </c>
      <c r="E73" s="404"/>
      <c r="F73" s="412"/>
      <c r="G73" s="485">
        <v>0</v>
      </c>
      <c r="H73" s="486"/>
      <c r="I73" s="101"/>
      <c r="J73" s="487"/>
      <c r="K73" s="488"/>
      <c r="L73" s="485">
        <f>L78</f>
        <v>0</v>
      </c>
      <c r="M73" s="486"/>
      <c r="N73" s="101"/>
      <c r="O73" s="487"/>
      <c r="P73" s="488"/>
      <c r="Q73" s="485">
        <f>Q78</f>
        <v>0</v>
      </c>
      <c r="R73" s="486"/>
      <c r="S73" s="101"/>
      <c r="T73" s="487"/>
      <c r="U73" s="488"/>
      <c r="V73" s="485">
        <f>V78</f>
        <v>0</v>
      </c>
      <c r="W73" s="486"/>
      <c r="X73" s="101"/>
      <c r="Y73" s="487"/>
      <c r="Z73" s="488"/>
      <c r="AA73" s="485">
        <f>AA78</f>
        <v>0</v>
      </c>
      <c r="AB73" s="486"/>
      <c r="AC73" s="101"/>
      <c r="AD73" s="487"/>
      <c r="AE73" s="488"/>
      <c r="AF73" s="485">
        <f>AF78</f>
        <v>0</v>
      </c>
      <c r="AG73" s="486"/>
      <c r="AH73" s="101"/>
      <c r="AI73" s="487"/>
      <c r="AJ73" s="488"/>
      <c r="AK73" s="485">
        <f>AK78</f>
        <v>0</v>
      </c>
      <c r="AL73" s="486"/>
      <c r="AM73" s="101"/>
      <c r="AN73" s="487"/>
      <c r="AO73" s="488"/>
      <c r="AP73" s="485">
        <f>AP78</f>
        <v>0</v>
      </c>
      <c r="AQ73" s="486"/>
      <c r="AR73" s="101"/>
      <c r="AS73" s="487"/>
      <c r="AT73" s="488"/>
      <c r="AU73" s="485">
        <f>AU78</f>
        <v>0</v>
      </c>
      <c r="AV73" s="486"/>
      <c r="AW73" s="101"/>
      <c r="AX73" s="487"/>
      <c r="AY73" s="488"/>
      <c r="AZ73" s="485">
        <f>AZ78</f>
        <v>0</v>
      </c>
      <c r="BA73" s="486"/>
      <c r="BB73" s="101"/>
      <c r="BC73" s="487"/>
      <c r="BD73" s="488"/>
      <c r="BE73" s="485">
        <f>BE78</f>
        <v>0</v>
      </c>
      <c r="BF73" s="486"/>
      <c r="BG73" s="101"/>
      <c r="BH73" s="487"/>
      <c r="BI73" s="488"/>
      <c r="BJ73" s="485">
        <f>BJ78</f>
        <v>0</v>
      </c>
      <c r="BK73" s="486"/>
      <c r="BL73" s="101"/>
      <c r="BM73" s="487"/>
      <c r="BN73" s="488"/>
      <c r="BO73" s="485">
        <f>BO78</f>
        <v>0</v>
      </c>
      <c r="BP73" s="486"/>
      <c r="BQ73" s="101"/>
      <c r="BR73" s="487"/>
      <c r="BS73" s="488"/>
      <c r="BT73" s="485">
        <f>BT78</f>
        <v>0</v>
      </c>
      <c r="BU73" s="486"/>
      <c r="BV73" s="101"/>
      <c r="BW73" s="398"/>
    </row>
    <row r="74" spans="1:78" ht="12.75" hidden="1" customHeight="1" x14ac:dyDescent="0.2">
      <c r="A74" s="388"/>
      <c r="B74" s="388"/>
      <c r="C74" s="388"/>
      <c r="D74" s="398" t="s">
        <v>375</v>
      </c>
      <c r="E74" s="404"/>
      <c r="F74" s="404"/>
      <c r="G74" s="101">
        <v>0</v>
      </c>
      <c r="H74" s="49"/>
      <c r="I74" s="101"/>
      <c r="J74" s="487"/>
      <c r="K74" s="487"/>
      <c r="L74" s="101">
        <f>L79</f>
        <v>0</v>
      </c>
      <c r="M74" s="49"/>
      <c r="N74" s="101"/>
      <c r="O74" s="487"/>
      <c r="P74" s="487"/>
      <c r="Q74" s="101">
        <f>Q79</f>
        <v>0</v>
      </c>
      <c r="R74" s="49"/>
      <c r="S74" s="101"/>
      <c r="T74" s="487"/>
      <c r="U74" s="487"/>
      <c r="V74" s="101">
        <f>V79</f>
        <v>0</v>
      </c>
      <c r="W74" s="49"/>
      <c r="X74" s="101"/>
      <c r="Y74" s="487"/>
      <c r="Z74" s="487"/>
      <c r="AA74" s="101">
        <f>AA79</f>
        <v>0</v>
      </c>
      <c r="AB74" s="49"/>
      <c r="AC74" s="101"/>
      <c r="AD74" s="487"/>
      <c r="AE74" s="487"/>
      <c r="AF74" s="101">
        <f>AF79</f>
        <v>0</v>
      </c>
      <c r="AG74" s="49"/>
      <c r="AH74" s="101"/>
      <c r="AI74" s="487"/>
      <c r="AJ74" s="487"/>
      <c r="AK74" s="101">
        <f>AK79</f>
        <v>0</v>
      </c>
      <c r="AL74" s="49"/>
      <c r="AM74" s="101"/>
      <c r="AN74" s="487"/>
      <c r="AO74" s="487"/>
      <c r="AP74" s="101">
        <f>AP79</f>
        <v>0</v>
      </c>
      <c r="AQ74" s="49"/>
      <c r="AR74" s="101"/>
      <c r="AS74" s="487"/>
      <c r="AT74" s="487"/>
      <c r="AU74" s="101">
        <f>AU79</f>
        <v>0</v>
      </c>
      <c r="AV74" s="49"/>
      <c r="AW74" s="101"/>
      <c r="AX74" s="487"/>
      <c r="AY74" s="487"/>
      <c r="AZ74" s="101">
        <f>AZ79</f>
        <v>0</v>
      </c>
      <c r="BA74" s="49"/>
      <c r="BB74" s="101"/>
      <c r="BC74" s="487"/>
      <c r="BD74" s="487"/>
      <c r="BE74" s="101">
        <f>BE79</f>
        <v>0</v>
      </c>
      <c r="BF74" s="49"/>
      <c r="BG74" s="101"/>
      <c r="BH74" s="487"/>
      <c r="BI74" s="487"/>
      <c r="BJ74" s="101">
        <f>BJ79</f>
        <v>0</v>
      </c>
      <c r="BK74" s="49"/>
      <c r="BL74" s="101"/>
      <c r="BM74" s="487"/>
      <c r="BN74" s="487"/>
      <c r="BO74" s="101">
        <f>BO79</f>
        <v>0</v>
      </c>
      <c r="BP74" s="49"/>
      <c r="BQ74" s="101"/>
      <c r="BR74" s="487"/>
      <c r="BS74" s="487"/>
      <c r="BT74" s="101">
        <f>BT79</f>
        <v>0</v>
      </c>
      <c r="BU74" s="49"/>
      <c r="BV74" s="101"/>
      <c r="BW74" s="398"/>
    </row>
    <row r="75" spans="1:78" ht="12.75" hidden="1" customHeight="1" x14ac:dyDescent="0.2">
      <c r="A75" s="388"/>
      <c r="B75" s="388"/>
      <c r="C75" s="388"/>
      <c r="D75" s="398" t="s">
        <v>383</v>
      </c>
      <c r="E75" s="404"/>
      <c r="F75" s="427"/>
      <c r="G75" s="496">
        <v>0</v>
      </c>
      <c r="H75" s="90"/>
      <c r="I75" s="101"/>
      <c r="J75" s="487"/>
      <c r="K75" s="497"/>
      <c r="L75" s="496">
        <f>L80</f>
        <v>0</v>
      </c>
      <c r="M75" s="90"/>
      <c r="N75" s="101"/>
      <c r="O75" s="487"/>
      <c r="P75" s="497"/>
      <c r="Q75" s="496">
        <f>Q80</f>
        <v>0</v>
      </c>
      <c r="R75" s="90"/>
      <c r="S75" s="101"/>
      <c r="T75" s="487"/>
      <c r="U75" s="497"/>
      <c r="V75" s="496">
        <f>V80</f>
        <v>0</v>
      </c>
      <c r="W75" s="90"/>
      <c r="X75" s="101"/>
      <c r="Y75" s="487"/>
      <c r="Z75" s="497"/>
      <c r="AA75" s="496">
        <f>AA80</f>
        <v>0</v>
      </c>
      <c r="AB75" s="90"/>
      <c r="AC75" s="101"/>
      <c r="AD75" s="487"/>
      <c r="AE75" s="497"/>
      <c r="AF75" s="496">
        <f>AF80</f>
        <v>0</v>
      </c>
      <c r="AG75" s="90"/>
      <c r="AH75" s="101"/>
      <c r="AI75" s="487"/>
      <c r="AJ75" s="497"/>
      <c r="AK75" s="496">
        <f>AK80</f>
        <v>0</v>
      </c>
      <c r="AL75" s="90"/>
      <c r="AM75" s="101"/>
      <c r="AN75" s="487"/>
      <c r="AO75" s="497"/>
      <c r="AP75" s="496">
        <f>AP80</f>
        <v>0</v>
      </c>
      <c r="AQ75" s="90"/>
      <c r="AR75" s="101"/>
      <c r="AS75" s="487"/>
      <c r="AT75" s="497"/>
      <c r="AU75" s="496">
        <f>AU80</f>
        <v>0</v>
      </c>
      <c r="AV75" s="90"/>
      <c r="AW75" s="101"/>
      <c r="AX75" s="487"/>
      <c r="AY75" s="497"/>
      <c r="AZ75" s="496">
        <f>AZ80</f>
        <v>0</v>
      </c>
      <c r="BA75" s="90"/>
      <c r="BB75" s="101"/>
      <c r="BC75" s="487"/>
      <c r="BD75" s="497"/>
      <c r="BE75" s="496">
        <f>BE80</f>
        <v>0</v>
      </c>
      <c r="BF75" s="90"/>
      <c r="BG75" s="101"/>
      <c r="BH75" s="487"/>
      <c r="BI75" s="497"/>
      <c r="BJ75" s="496">
        <f>BJ80</f>
        <v>0</v>
      </c>
      <c r="BK75" s="90"/>
      <c r="BL75" s="101"/>
      <c r="BM75" s="487"/>
      <c r="BN75" s="497"/>
      <c r="BO75" s="496">
        <f>BO80</f>
        <v>0</v>
      </c>
      <c r="BP75" s="90"/>
      <c r="BQ75" s="101"/>
      <c r="BR75" s="487"/>
      <c r="BS75" s="497"/>
      <c r="BT75" s="496">
        <f>BT80</f>
        <v>0</v>
      </c>
      <c r="BU75" s="90"/>
      <c r="BV75" s="101"/>
      <c r="BW75" s="398"/>
    </row>
    <row r="76" spans="1:78" ht="12.75" hidden="1" customHeight="1" x14ac:dyDescent="0.2">
      <c r="A76" s="388"/>
      <c r="B76" s="388"/>
      <c r="C76" s="388"/>
      <c r="D76" s="398"/>
      <c r="E76" s="404"/>
      <c r="F76" s="388"/>
      <c r="G76" s="101"/>
      <c r="H76" s="101"/>
      <c r="I76" s="101"/>
      <c r="J76" s="487"/>
      <c r="K76" s="101"/>
      <c r="L76" s="101"/>
      <c r="M76" s="101"/>
      <c r="N76" s="101"/>
      <c r="O76" s="487"/>
      <c r="P76" s="101"/>
      <c r="Q76" s="101"/>
      <c r="R76" s="101"/>
      <c r="S76" s="101"/>
      <c r="T76" s="487"/>
      <c r="U76" s="101"/>
      <c r="V76" s="101"/>
      <c r="W76" s="101"/>
      <c r="X76" s="101"/>
      <c r="Y76" s="487"/>
      <c r="Z76" s="101"/>
      <c r="AA76" s="101"/>
      <c r="AB76" s="101"/>
      <c r="AC76" s="101"/>
      <c r="AD76" s="487"/>
      <c r="AE76" s="101"/>
      <c r="AF76" s="101"/>
      <c r="AG76" s="101"/>
      <c r="AH76" s="101"/>
      <c r="AI76" s="487"/>
      <c r="AJ76" s="101"/>
      <c r="AK76" s="101"/>
      <c r="AL76" s="101"/>
      <c r="AM76" s="101"/>
      <c r="AN76" s="487"/>
      <c r="AO76" s="101"/>
      <c r="AP76" s="101"/>
      <c r="AQ76" s="101"/>
      <c r="AR76" s="101"/>
      <c r="AS76" s="487"/>
      <c r="AT76" s="101"/>
      <c r="AU76" s="101"/>
      <c r="AV76" s="101"/>
      <c r="AW76" s="101"/>
      <c r="AX76" s="487"/>
      <c r="AY76" s="101"/>
      <c r="AZ76" s="101"/>
      <c r="BA76" s="101"/>
      <c r="BB76" s="101"/>
      <c r="BC76" s="487"/>
      <c r="BD76" s="101"/>
      <c r="BE76" s="101"/>
      <c r="BF76" s="101"/>
      <c r="BG76" s="101"/>
      <c r="BH76" s="487"/>
      <c r="BI76" s="101"/>
      <c r="BJ76" s="101"/>
      <c r="BK76" s="101"/>
      <c r="BL76" s="101"/>
      <c r="BM76" s="487"/>
      <c r="BN76" s="101"/>
      <c r="BO76" s="101"/>
      <c r="BP76" s="101"/>
      <c r="BQ76" s="101"/>
      <c r="BR76" s="487"/>
      <c r="BS76" s="101"/>
      <c r="BT76" s="101"/>
      <c r="BU76" s="101"/>
      <c r="BV76" s="101"/>
      <c r="BW76" s="398"/>
    </row>
    <row r="77" spans="1:78" ht="12.75" hidden="1" customHeight="1" x14ac:dyDescent="0.2">
      <c r="A77" s="388"/>
      <c r="B77" s="388"/>
      <c r="C77" s="388"/>
      <c r="D77" s="398" t="s">
        <v>486</v>
      </c>
      <c r="E77" s="404"/>
      <c r="F77" s="388"/>
      <c r="G77" s="101">
        <v>0</v>
      </c>
      <c r="H77" s="101"/>
      <c r="I77" s="101"/>
      <c r="J77" s="487"/>
      <c r="K77" s="101"/>
      <c r="L77" s="101">
        <f>SUM(L78:L80)</f>
        <v>0</v>
      </c>
      <c r="M77" s="101"/>
      <c r="N77" s="101"/>
      <c r="O77" s="487"/>
      <c r="P77" s="101"/>
      <c r="Q77" s="101">
        <f>SUM(Q78:Q80)</f>
        <v>0</v>
      </c>
      <c r="R77" s="101"/>
      <c r="S77" s="101"/>
      <c r="T77" s="487"/>
      <c r="U77" s="101"/>
      <c r="V77" s="101">
        <f>SUM(V78:V80)</f>
        <v>0</v>
      </c>
      <c r="W77" s="101"/>
      <c r="X77" s="101"/>
      <c r="Y77" s="487"/>
      <c r="Z77" s="101"/>
      <c r="AA77" s="101">
        <f>SUM(AA78:AA80)</f>
        <v>0</v>
      </c>
      <c r="AB77" s="101"/>
      <c r="AC77" s="101"/>
      <c r="AD77" s="487"/>
      <c r="AE77" s="101"/>
      <c r="AF77" s="101">
        <f>SUM(AF78:AF80)</f>
        <v>0</v>
      </c>
      <c r="AG77" s="101"/>
      <c r="AH77" s="101"/>
      <c r="AI77" s="487"/>
      <c r="AJ77" s="101"/>
      <c r="AK77" s="101">
        <f>SUM(AK78:AK80)</f>
        <v>0</v>
      </c>
      <c r="AL77" s="101"/>
      <c r="AM77" s="101"/>
      <c r="AN77" s="487"/>
      <c r="AO77" s="101"/>
      <c r="AP77" s="101">
        <f>SUM(AP78:AP80)</f>
        <v>0</v>
      </c>
      <c r="AQ77" s="101"/>
      <c r="AR77" s="101"/>
      <c r="AS77" s="487"/>
      <c r="AT77" s="101"/>
      <c r="AU77" s="101">
        <f>SUM(AU78:AU80)</f>
        <v>0</v>
      </c>
      <c r="AV77" s="101"/>
      <c r="AW77" s="101"/>
      <c r="AX77" s="487"/>
      <c r="AY77" s="101"/>
      <c r="AZ77" s="101">
        <f>SUM(AZ78:AZ80)</f>
        <v>0</v>
      </c>
      <c r="BA77" s="101"/>
      <c r="BB77" s="101"/>
      <c r="BC77" s="487"/>
      <c r="BD77" s="101"/>
      <c r="BE77" s="101">
        <f>SUM(BE78:BE80)</f>
        <v>0</v>
      </c>
      <c r="BF77" s="101"/>
      <c r="BG77" s="101"/>
      <c r="BH77" s="487"/>
      <c r="BI77" s="101"/>
      <c r="BJ77" s="101">
        <f>SUM(BJ78:BJ80)</f>
        <v>0</v>
      </c>
      <c r="BK77" s="101"/>
      <c r="BL77" s="101"/>
      <c r="BM77" s="487"/>
      <c r="BN77" s="101"/>
      <c r="BO77" s="101">
        <f>SUM(BO78:BO80)</f>
        <v>0</v>
      </c>
      <c r="BP77" s="101"/>
      <c r="BQ77" s="101"/>
      <c r="BR77" s="487"/>
      <c r="BS77" s="101"/>
      <c r="BT77" s="101">
        <f>SUM(BT78:BT80)</f>
        <v>0</v>
      </c>
      <c r="BU77" s="101"/>
      <c r="BV77" s="101"/>
      <c r="BW77" s="398"/>
    </row>
    <row r="78" spans="1:78" ht="12.75" hidden="1" customHeight="1" x14ac:dyDescent="0.2">
      <c r="A78" s="388"/>
      <c r="B78" s="388"/>
      <c r="C78" s="388"/>
      <c r="D78" s="398" t="s">
        <v>373</v>
      </c>
      <c r="E78" s="404"/>
      <c r="F78" s="412"/>
      <c r="G78" s="485">
        <v>0</v>
      </c>
      <c r="H78" s="486"/>
      <c r="I78" s="101"/>
      <c r="J78" s="487"/>
      <c r="K78" s="488"/>
      <c r="L78" s="485">
        <v>0</v>
      </c>
      <c r="M78" s="486"/>
      <c r="N78" s="101"/>
      <c r="O78" s="487"/>
      <c r="P78" s="488"/>
      <c r="Q78" s="485">
        <v>0</v>
      </c>
      <c r="R78" s="486"/>
      <c r="S78" s="101"/>
      <c r="T78" s="487"/>
      <c r="U78" s="488"/>
      <c r="V78" s="485">
        <v>0</v>
      </c>
      <c r="W78" s="486"/>
      <c r="X78" s="101"/>
      <c r="Y78" s="487"/>
      <c r="Z78" s="488"/>
      <c r="AA78" s="485">
        <v>0</v>
      </c>
      <c r="AB78" s="486"/>
      <c r="AC78" s="101"/>
      <c r="AD78" s="487"/>
      <c r="AE78" s="488"/>
      <c r="AF78" s="485">
        <v>0</v>
      </c>
      <c r="AG78" s="486"/>
      <c r="AH78" s="101"/>
      <c r="AI78" s="487"/>
      <c r="AJ78" s="488"/>
      <c r="AK78" s="485">
        <v>0</v>
      </c>
      <c r="AL78" s="486"/>
      <c r="AM78" s="101"/>
      <c r="AN78" s="487"/>
      <c r="AO78" s="488"/>
      <c r="AP78" s="485">
        <v>0</v>
      </c>
      <c r="AQ78" s="486"/>
      <c r="AR78" s="101"/>
      <c r="AS78" s="487"/>
      <c r="AT78" s="488"/>
      <c r="AU78" s="485">
        <v>0</v>
      </c>
      <c r="AV78" s="486"/>
      <c r="AW78" s="101"/>
      <c r="AX78" s="487"/>
      <c r="AY78" s="488"/>
      <c r="AZ78" s="485">
        <v>0</v>
      </c>
      <c r="BA78" s="486"/>
      <c r="BB78" s="101"/>
      <c r="BC78" s="487"/>
      <c r="BD78" s="488"/>
      <c r="BE78" s="485">
        <v>0</v>
      </c>
      <c r="BF78" s="486"/>
      <c r="BG78" s="101"/>
      <c r="BH78" s="487"/>
      <c r="BI78" s="488"/>
      <c r="BJ78" s="485">
        <v>0</v>
      </c>
      <c r="BK78" s="486"/>
      <c r="BL78" s="101"/>
      <c r="BM78" s="487"/>
      <c r="BN78" s="488"/>
      <c r="BO78" s="485">
        <v>0</v>
      </c>
      <c r="BP78" s="486"/>
      <c r="BQ78" s="101"/>
      <c r="BR78" s="487"/>
      <c r="BS78" s="488"/>
      <c r="BT78" s="485">
        <f>SUM(L78:BO78)</f>
        <v>0</v>
      </c>
      <c r="BU78" s="486"/>
      <c r="BV78" s="101"/>
      <c r="BW78" s="398"/>
    </row>
    <row r="79" spans="1:78" ht="12.75" hidden="1" customHeight="1" x14ac:dyDescent="0.2">
      <c r="A79" s="388"/>
      <c r="B79" s="388"/>
      <c r="C79" s="388"/>
      <c r="D79" s="398" t="s">
        <v>375</v>
      </c>
      <c r="E79" s="404"/>
      <c r="F79" s="404"/>
      <c r="G79" s="101">
        <v>0</v>
      </c>
      <c r="H79" s="49"/>
      <c r="I79" s="101"/>
      <c r="J79" s="487"/>
      <c r="K79" s="487"/>
      <c r="L79" s="101">
        <v>0</v>
      </c>
      <c r="M79" s="49"/>
      <c r="N79" s="101"/>
      <c r="O79" s="487"/>
      <c r="P79" s="487"/>
      <c r="Q79" s="101">
        <v>0</v>
      </c>
      <c r="R79" s="49"/>
      <c r="S79" s="101"/>
      <c r="T79" s="487"/>
      <c r="U79" s="487"/>
      <c r="V79" s="101">
        <v>0</v>
      </c>
      <c r="W79" s="49"/>
      <c r="X79" s="101"/>
      <c r="Y79" s="487"/>
      <c r="Z79" s="487"/>
      <c r="AA79" s="101">
        <v>0</v>
      </c>
      <c r="AB79" s="49"/>
      <c r="AC79" s="101"/>
      <c r="AD79" s="487"/>
      <c r="AE79" s="487"/>
      <c r="AF79" s="101">
        <v>0</v>
      </c>
      <c r="AG79" s="49"/>
      <c r="AH79" s="101"/>
      <c r="AI79" s="487"/>
      <c r="AJ79" s="487"/>
      <c r="AK79" s="101">
        <v>0</v>
      </c>
      <c r="AL79" s="49"/>
      <c r="AM79" s="101"/>
      <c r="AN79" s="487"/>
      <c r="AO79" s="487"/>
      <c r="AP79" s="101">
        <v>0</v>
      </c>
      <c r="AQ79" s="49"/>
      <c r="AR79" s="101"/>
      <c r="AS79" s="487"/>
      <c r="AT79" s="487"/>
      <c r="AU79" s="101">
        <v>0</v>
      </c>
      <c r="AV79" s="49"/>
      <c r="AW79" s="101"/>
      <c r="AX79" s="487"/>
      <c r="AY79" s="487"/>
      <c r="AZ79" s="101">
        <v>0</v>
      </c>
      <c r="BA79" s="49"/>
      <c r="BB79" s="101"/>
      <c r="BC79" s="487"/>
      <c r="BD79" s="487"/>
      <c r="BE79" s="101">
        <v>0</v>
      </c>
      <c r="BF79" s="49"/>
      <c r="BG79" s="101"/>
      <c r="BH79" s="487"/>
      <c r="BI79" s="487"/>
      <c r="BJ79" s="101">
        <v>0</v>
      </c>
      <c r="BK79" s="49"/>
      <c r="BL79" s="101"/>
      <c r="BM79" s="487"/>
      <c r="BN79" s="487"/>
      <c r="BO79" s="101">
        <v>0</v>
      </c>
      <c r="BP79" s="49"/>
      <c r="BQ79" s="101"/>
      <c r="BR79" s="487"/>
      <c r="BS79" s="487"/>
      <c r="BT79" s="101">
        <f>SUM(L79:BO79)</f>
        <v>0</v>
      </c>
      <c r="BU79" s="49"/>
      <c r="BV79" s="101"/>
      <c r="BW79" s="398"/>
    </row>
    <row r="80" spans="1:78" ht="12.75" hidden="1" customHeight="1" x14ac:dyDescent="0.2">
      <c r="A80" s="388"/>
      <c r="B80" s="388"/>
      <c r="C80" s="388"/>
      <c r="D80" s="398" t="s">
        <v>383</v>
      </c>
      <c r="E80" s="404"/>
      <c r="F80" s="427"/>
      <c r="G80" s="496">
        <v>0</v>
      </c>
      <c r="H80" s="90"/>
      <c r="I80" s="101"/>
      <c r="J80" s="487"/>
      <c r="K80" s="497"/>
      <c r="L80" s="496">
        <v>0</v>
      </c>
      <c r="M80" s="90"/>
      <c r="N80" s="101"/>
      <c r="O80" s="487"/>
      <c r="P80" s="497"/>
      <c r="Q80" s="496">
        <v>0</v>
      </c>
      <c r="R80" s="90"/>
      <c r="S80" s="101"/>
      <c r="T80" s="487"/>
      <c r="U80" s="497"/>
      <c r="V80" s="496">
        <v>0</v>
      </c>
      <c r="W80" s="90"/>
      <c r="X80" s="101"/>
      <c r="Y80" s="487"/>
      <c r="Z80" s="497"/>
      <c r="AA80" s="496">
        <v>0</v>
      </c>
      <c r="AB80" s="90"/>
      <c r="AC80" s="101"/>
      <c r="AD80" s="487"/>
      <c r="AE80" s="497"/>
      <c r="AF80" s="496">
        <v>0</v>
      </c>
      <c r="AG80" s="90"/>
      <c r="AH80" s="101"/>
      <c r="AI80" s="487"/>
      <c r="AJ80" s="497"/>
      <c r="AK80" s="496">
        <v>0</v>
      </c>
      <c r="AL80" s="90"/>
      <c r="AM80" s="101"/>
      <c r="AN80" s="487"/>
      <c r="AO80" s="497"/>
      <c r="AP80" s="496">
        <v>0</v>
      </c>
      <c r="AQ80" s="90"/>
      <c r="AR80" s="101"/>
      <c r="AS80" s="487"/>
      <c r="AT80" s="497"/>
      <c r="AU80" s="496">
        <v>0</v>
      </c>
      <c r="AV80" s="90"/>
      <c r="AW80" s="101"/>
      <c r="AX80" s="487"/>
      <c r="AY80" s="497"/>
      <c r="AZ80" s="496">
        <v>0</v>
      </c>
      <c r="BA80" s="90"/>
      <c r="BB80" s="101"/>
      <c r="BC80" s="487"/>
      <c r="BD80" s="497"/>
      <c r="BE80" s="496">
        <v>0</v>
      </c>
      <c r="BF80" s="90"/>
      <c r="BG80" s="101"/>
      <c r="BH80" s="487"/>
      <c r="BI80" s="497"/>
      <c r="BJ80" s="496">
        <v>0</v>
      </c>
      <c r="BK80" s="90"/>
      <c r="BL80" s="101"/>
      <c r="BM80" s="487"/>
      <c r="BN80" s="497"/>
      <c r="BO80" s="496">
        <v>0</v>
      </c>
      <c r="BP80" s="90"/>
      <c r="BQ80" s="101"/>
      <c r="BR80" s="487"/>
      <c r="BS80" s="497"/>
      <c r="BT80" s="496">
        <f>SUM(L80:BO80)</f>
        <v>0</v>
      </c>
      <c r="BU80" s="90"/>
      <c r="BV80" s="101"/>
      <c r="BW80" s="398"/>
    </row>
    <row r="81" spans="1:75" ht="12.75" hidden="1" customHeight="1" x14ac:dyDescent="0.2">
      <c r="A81" s="388"/>
      <c r="B81" s="388"/>
      <c r="C81" s="388"/>
      <c r="D81" s="398"/>
      <c r="E81" s="404"/>
      <c r="F81" s="388"/>
      <c r="G81" s="101"/>
      <c r="H81" s="101"/>
      <c r="I81" s="101"/>
      <c r="J81" s="487"/>
      <c r="K81" s="101"/>
      <c r="L81" s="101"/>
      <c r="M81" s="101"/>
      <c r="N81" s="101"/>
      <c r="O81" s="487"/>
      <c r="P81" s="101"/>
      <c r="Q81" s="101"/>
      <c r="R81" s="101"/>
      <c r="S81" s="101"/>
      <c r="T81" s="487"/>
      <c r="U81" s="101"/>
      <c r="V81" s="101"/>
      <c r="W81" s="101"/>
      <c r="X81" s="101"/>
      <c r="Y81" s="487"/>
      <c r="Z81" s="101"/>
      <c r="AA81" s="101"/>
      <c r="AB81" s="101"/>
      <c r="AC81" s="101"/>
      <c r="AD81" s="487"/>
      <c r="AE81" s="101"/>
      <c r="AF81" s="101"/>
      <c r="AG81" s="101"/>
      <c r="AH81" s="101"/>
      <c r="AI81" s="487"/>
      <c r="AJ81" s="101"/>
      <c r="AK81" s="101"/>
      <c r="AL81" s="101"/>
      <c r="AM81" s="101"/>
      <c r="AN81" s="487"/>
      <c r="AO81" s="101"/>
      <c r="AP81" s="101"/>
      <c r="AQ81" s="101"/>
      <c r="AR81" s="101"/>
      <c r="AS81" s="487"/>
      <c r="AT81" s="101"/>
      <c r="AU81" s="101"/>
      <c r="AV81" s="101"/>
      <c r="AW81" s="101"/>
      <c r="AX81" s="487"/>
      <c r="AY81" s="101"/>
      <c r="AZ81" s="101"/>
      <c r="BA81" s="101"/>
      <c r="BB81" s="101"/>
      <c r="BC81" s="487"/>
      <c r="BD81" s="101"/>
      <c r="BE81" s="101"/>
      <c r="BF81" s="101"/>
      <c r="BG81" s="101"/>
      <c r="BH81" s="487"/>
      <c r="BI81" s="101"/>
      <c r="BJ81" s="101"/>
      <c r="BK81" s="101"/>
      <c r="BL81" s="101"/>
      <c r="BM81" s="487"/>
      <c r="BN81" s="101"/>
      <c r="BO81" s="101"/>
      <c r="BP81" s="101"/>
      <c r="BQ81" s="101"/>
      <c r="BR81" s="487"/>
      <c r="BS81" s="101"/>
      <c r="BT81" s="101"/>
      <c r="BU81" s="101"/>
      <c r="BV81" s="101"/>
      <c r="BW81" s="398"/>
    </row>
    <row r="82" spans="1:75" ht="12.75" hidden="1" customHeight="1" x14ac:dyDescent="0.2">
      <c r="A82" s="388"/>
      <c r="B82" s="388"/>
      <c r="C82" s="388"/>
      <c r="D82" s="398" t="s">
        <v>477</v>
      </c>
      <c r="E82" s="404"/>
      <c r="F82" s="388"/>
      <c r="G82" s="101">
        <v>0</v>
      </c>
      <c r="H82" s="101"/>
      <c r="I82" s="101"/>
      <c r="J82" s="487"/>
      <c r="K82" s="101"/>
      <c r="L82" s="101">
        <f>SUM(L83:L85)</f>
        <v>0</v>
      </c>
      <c r="M82" s="101"/>
      <c r="N82" s="101"/>
      <c r="O82" s="487"/>
      <c r="P82" s="101"/>
      <c r="Q82" s="101">
        <f>SUM(Q83:Q85)</f>
        <v>0</v>
      </c>
      <c r="R82" s="101"/>
      <c r="S82" s="101"/>
      <c r="T82" s="487"/>
      <c r="U82" s="101"/>
      <c r="V82" s="101">
        <f>SUM(V83:V85)</f>
        <v>0</v>
      </c>
      <c r="W82" s="101"/>
      <c r="X82" s="101"/>
      <c r="Y82" s="487"/>
      <c r="Z82" s="101"/>
      <c r="AA82" s="101">
        <f>SUM(AA83:AA85)</f>
        <v>0</v>
      </c>
      <c r="AB82" s="101"/>
      <c r="AC82" s="101"/>
      <c r="AD82" s="487"/>
      <c r="AE82" s="101"/>
      <c r="AF82" s="101">
        <f>SUM(AF83:AF85)</f>
        <v>0</v>
      </c>
      <c r="AG82" s="101"/>
      <c r="AH82" s="101"/>
      <c r="AI82" s="487"/>
      <c r="AJ82" s="101"/>
      <c r="AK82" s="101">
        <f>SUM(AK83:AK85)</f>
        <v>0</v>
      </c>
      <c r="AL82" s="101"/>
      <c r="AM82" s="101"/>
      <c r="AN82" s="487"/>
      <c r="AO82" s="101"/>
      <c r="AP82" s="101">
        <f>SUM(AP83:AP85)</f>
        <v>0</v>
      </c>
      <c r="AQ82" s="101"/>
      <c r="AR82" s="101"/>
      <c r="AS82" s="487"/>
      <c r="AT82" s="101"/>
      <c r="AU82" s="101">
        <f>SUM(AU83:AU85)</f>
        <v>0</v>
      </c>
      <c r="AV82" s="101"/>
      <c r="AW82" s="101"/>
      <c r="AX82" s="487"/>
      <c r="AY82" s="101"/>
      <c r="AZ82" s="101">
        <f>SUM(AZ83:AZ85)</f>
        <v>0</v>
      </c>
      <c r="BA82" s="101"/>
      <c r="BB82" s="101"/>
      <c r="BC82" s="487"/>
      <c r="BD82" s="101"/>
      <c r="BE82" s="101">
        <f>SUM(BE83:BE85)</f>
        <v>0</v>
      </c>
      <c r="BF82" s="101"/>
      <c r="BG82" s="101"/>
      <c r="BH82" s="487"/>
      <c r="BI82" s="101"/>
      <c r="BJ82" s="101">
        <f>SUM(BJ83:BJ85)</f>
        <v>0</v>
      </c>
      <c r="BK82" s="101"/>
      <c r="BL82" s="101"/>
      <c r="BM82" s="487"/>
      <c r="BN82" s="101"/>
      <c r="BO82" s="101">
        <f>SUM(BO83:BO85)</f>
        <v>0</v>
      </c>
      <c r="BP82" s="101"/>
      <c r="BQ82" s="101"/>
      <c r="BR82" s="487"/>
      <c r="BS82" s="101"/>
      <c r="BT82" s="101">
        <f>SUM(BT83:BT85)</f>
        <v>0</v>
      </c>
      <c r="BU82" s="101"/>
      <c r="BV82" s="101"/>
      <c r="BW82" s="398"/>
    </row>
    <row r="83" spans="1:75" ht="12.75" hidden="1" customHeight="1" x14ac:dyDescent="0.2">
      <c r="A83" s="388"/>
      <c r="B83" s="388"/>
      <c r="C83" s="388"/>
      <c r="D83" s="398" t="s">
        <v>373</v>
      </c>
      <c r="E83" s="404"/>
      <c r="F83" s="412"/>
      <c r="G83" s="485">
        <v>0</v>
      </c>
      <c r="H83" s="486"/>
      <c r="I83" s="101"/>
      <c r="J83" s="487"/>
      <c r="K83" s="488"/>
      <c r="L83" s="485">
        <v>0</v>
      </c>
      <c r="M83" s="486"/>
      <c r="N83" s="101"/>
      <c r="O83" s="487"/>
      <c r="P83" s="488"/>
      <c r="Q83" s="485">
        <v>0</v>
      </c>
      <c r="R83" s="486"/>
      <c r="S83" s="101"/>
      <c r="T83" s="487"/>
      <c r="U83" s="488"/>
      <c r="V83" s="485">
        <v>0</v>
      </c>
      <c r="W83" s="486"/>
      <c r="X83" s="101"/>
      <c r="Y83" s="487"/>
      <c r="Z83" s="488"/>
      <c r="AA83" s="485">
        <v>0</v>
      </c>
      <c r="AB83" s="486"/>
      <c r="AC83" s="101"/>
      <c r="AD83" s="487"/>
      <c r="AE83" s="488"/>
      <c r="AF83" s="485">
        <v>0</v>
      </c>
      <c r="AG83" s="486"/>
      <c r="AH83" s="101"/>
      <c r="AI83" s="487"/>
      <c r="AJ83" s="488"/>
      <c r="AK83" s="485">
        <v>0</v>
      </c>
      <c r="AL83" s="486"/>
      <c r="AM83" s="101"/>
      <c r="AN83" s="487"/>
      <c r="AO83" s="488"/>
      <c r="AP83" s="485">
        <v>0</v>
      </c>
      <c r="AQ83" s="486"/>
      <c r="AR83" s="101"/>
      <c r="AS83" s="487"/>
      <c r="AT83" s="488"/>
      <c r="AU83" s="485">
        <v>0</v>
      </c>
      <c r="AV83" s="486"/>
      <c r="AW83" s="101"/>
      <c r="AX83" s="487"/>
      <c r="AY83" s="488"/>
      <c r="AZ83" s="485">
        <v>0</v>
      </c>
      <c r="BA83" s="486"/>
      <c r="BB83" s="101"/>
      <c r="BC83" s="487"/>
      <c r="BD83" s="488"/>
      <c r="BE83" s="485">
        <v>0</v>
      </c>
      <c r="BF83" s="486"/>
      <c r="BG83" s="101"/>
      <c r="BH83" s="487"/>
      <c r="BI83" s="488"/>
      <c r="BJ83" s="485">
        <v>0</v>
      </c>
      <c r="BK83" s="486"/>
      <c r="BL83" s="101"/>
      <c r="BM83" s="487"/>
      <c r="BN83" s="488"/>
      <c r="BO83" s="485">
        <v>0</v>
      </c>
      <c r="BP83" s="486"/>
      <c r="BQ83" s="101"/>
      <c r="BR83" s="487"/>
      <c r="BS83" s="488"/>
      <c r="BT83" s="485">
        <f>SUM(L83:BO83)</f>
        <v>0</v>
      </c>
      <c r="BU83" s="486"/>
      <c r="BV83" s="101"/>
      <c r="BW83" s="398"/>
    </row>
    <row r="84" spans="1:75" ht="12.75" hidden="1" customHeight="1" x14ac:dyDescent="0.2">
      <c r="A84" s="388"/>
      <c r="B84" s="388"/>
      <c r="C84" s="388"/>
      <c r="D84" s="398" t="s">
        <v>375</v>
      </c>
      <c r="E84" s="404"/>
      <c r="F84" s="404"/>
      <c r="G84" s="101">
        <v>0</v>
      </c>
      <c r="H84" s="49"/>
      <c r="I84" s="101"/>
      <c r="J84" s="487"/>
      <c r="K84" s="487"/>
      <c r="L84" s="101">
        <v>0</v>
      </c>
      <c r="M84" s="49"/>
      <c r="N84" s="101"/>
      <c r="O84" s="487"/>
      <c r="P84" s="487"/>
      <c r="Q84" s="101">
        <v>0</v>
      </c>
      <c r="R84" s="49"/>
      <c r="S84" s="101"/>
      <c r="T84" s="487"/>
      <c r="U84" s="487"/>
      <c r="V84" s="101">
        <v>0</v>
      </c>
      <c r="W84" s="49"/>
      <c r="X84" s="101"/>
      <c r="Y84" s="487"/>
      <c r="Z84" s="487"/>
      <c r="AA84" s="101">
        <v>0</v>
      </c>
      <c r="AB84" s="49"/>
      <c r="AC84" s="101"/>
      <c r="AD84" s="487"/>
      <c r="AE84" s="487"/>
      <c r="AF84" s="101">
        <v>0</v>
      </c>
      <c r="AG84" s="49"/>
      <c r="AH84" s="101"/>
      <c r="AI84" s="487"/>
      <c r="AJ84" s="487"/>
      <c r="AK84" s="101">
        <v>0</v>
      </c>
      <c r="AL84" s="49"/>
      <c r="AM84" s="101"/>
      <c r="AN84" s="487"/>
      <c r="AO84" s="487"/>
      <c r="AP84" s="101">
        <v>0</v>
      </c>
      <c r="AQ84" s="49"/>
      <c r="AR84" s="101"/>
      <c r="AS84" s="487"/>
      <c r="AT84" s="487"/>
      <c r="AU84" s="101">
        <v>0</v>
      </c>
      <c r="AV84" s="49"/>
      <c r="AW84" s="101"/>
      <c r="AX84" s="487"/>
      <c r="AY84" s="487"/>
      <c r="AZ84" s="101">
        <v>0</v>
      </c>
      <c r="BA84" s="49"/>
      <c r="BB84" s="101"/>
      <c r="BC84" s="487"/>
      <c r="BD84" s="487"/>
      <c r="BE84" s="101">
        <v>0</v>
      </c>
      <c r="BF84" s="49"/>
      <c r="BG84" s="101"/>
      <c r="BH84" s="487"/>
      <c r="BI84" s="487"/>
      <c r="BJ84" s="101">
        <v>0</v>
      </c>
      <c r="BK84" s="49"/>
      <c r="BL84" s="101"/>
      <c r="BM84" s="487"/>
      <c r="BN84" s="487"/>
      <c r="BO84" s="101">
        <v>0</v>
      </c>
      <c r="BP84" s="49"/>
      <c r="BQ84" s="101"/>
      <c r="BR84" s="487"/>
      <c r="BS84" s="487"/>
      <c r="BT84" s="101">
        <f>SUM(L84:BO84)</f>
        <v>0</v>
      </c>
      <c r="BU84" s="49"/>
      <c r="BV84" s="101"/>
      <c r="BW84" s="398"/>
    </row>
    <row r="85" spans="1:75" ht="12.75" hidden="1" customHeight="1" x14ac:dyDescent="0.2">
      <c r="A85" s="388"/>
      <c r="B85" s="388"/>
      <c r="C85" s="388"/>
      <c r="D85" s="398" t="s">
        <v>383</v>
      </c>
      <c r="E85" s="404"/>
      <c r="F85" s="427"/>
      <c r="G85" s="496">
        <v>0</v>
      </c>
      <c r="H85" s="90"/>
      <c r="I85" s="101"/>
      <c r="J85" s="487"/>
      <c r="K85" s="497"/>
      <c r="L85" s="496">
        <v>0</v>
      </c>
      <c r="M85" s="90"/>
      <c r="N85" s="101"/>
      <c r="O85" s="487"/>
      <c r="P85" s="497"/>
      <c r="Q85" s="496">
        <v>0</v>
      </c>
      <c r="R85" s="90"/>
      <c r="S85" s="101"/>
      <c r="T85" s="487"/>
      <c r="U85" s="497"/>
      <c r="V85" s="496">
        <v>0</v>
      </c>
      <c r="W85" s="90"/>
      <c r="X85" s="101"/>
      <c r="Y85" s="487"/>
      <c r="Z85" s="497"/>
      <c r="AA85" s="496">
        <v>0</v>
      </c>
      <c r="AB85" s="90"/>
      <c r="AC85" s="101"/>
      <c r="AD85" s="487"/>
      <c r="AE85" s="497"/>
      <c r="AF85" s="496">
        <v>0</v>
      </c>
      <c r="AG85" s="90"/>
      <c r="AH85" s="101"/>
      <c r="AI85" s="487"/>
      <c r="AJ85" s="497"/>
      <c r="AK85" s="496">
        <v>0</v>
      </c>
      <c r="AL85" s="90"/>
      <c r="AM85" s="101"/>
      <c r="AN85" s="487"/>
      <c r="AO85" s="497"/>
      <c r="AP85" s="496">
        <v>0</v>
      </c>
      <c r="AQ85" s="90"/>
      <c r="AR85" s="101"/>
      <c r="AS85" s="487"/>
      <c r="AT85" s="497"/>
      <c r="AU85" s="496">
        <v>0</v>
      </c>
      <c r="AV85" s="90"/>
      <c r="AW85" s="101"/>
      <c r="AX85" s="487"/>
      <c r="AY85" s="497"/>
      <c r="AZ85" s="496">
        <v>0</v>
      </c>
      <c r="BA85" s="90"/>
      <c r="BB85" s="101"/>
      <c r="BC85" s="487"/>
      <c r="BD85" s="497"/>
      <c r="BE85" s="496">
        <v>0</v>
      </c>
      <c r="BF85" s="90"/>
      <c r="BG85" s="101"/>
      <c r="BH85" s="487"/>
      <c r="BI85" s="497"/>
      <c r="BJ85" s="496">
        <v>0</v>
      </c>
      <c r="BK85" s="90"/>
      <c r="BL85" s="101"/>
      <c r="BM85" s="487"/>
      <c r="BN85" s="497"/>
      <c r="BO85" s="496">
        <v>0</v>
      </c>
      <c r="BP85" s="90"/>
      <c r="BQ85" s="101"/>
      <c r="BR85" s="487"/>
      <c r="BS85" s="497"/>
      <c r="BT85" s="496">
        <f>SUM(L85:BO85)</f>
        <v>0</v>
      </c>
      <c r="BU85" s="90"/>
      <c r="BV85" s="101"/>
      <c r="BW85" s="398"/>
    </row>
    <row r="86" spans="1:75" ht="12.75" hidden="1" customHeight="1" x14ac:dyDescent="0.2">
      <c r="A86" s="388"/>
      <c r="B86" s="388"/>
      <c r="C86" s="388"/>
      <c r="D86" s="398"/>
      <c r="E86" s="404"/>
      <c r="F86" s="388"/>
      <c r="G86" s="101"/>
      <c r="H86" s="101"/>
      <c r="I86" s="101"/>
      <c r="J86" s="487"/>
      <c r="K86" s="101"/>
      <c r="L86" s="101"/>
      <c r="M86" s="101"/>
      <c r="N86" s="101"/>
      <c r="O86" s="487"/>
      <c r="P86" s="101"/>
      <c r="Q86" s="101"/>
      <c r="R86" s="101"/>
      <c r="S86" s="101"/>
      <c r="T86" s="487"/>
      <c r="U86" s="101"/>
      <c r="V86" s="101"/>
      <c r="W86" s="101"/>
      <c r="X86" s="101"/>
      <c r="Y86" s="487"/>
      <c r="Z86" s="101"/>
      <c r="AA86" s="101"/>
      <c r="AB86" s="101"/>
      <c r="AC86" s="101"/>
      <c r="AD86" s="487"/>
      <c r="AE86" s="101"/>
      <c r="AF86" s="101"/>
      <c r="AG86" s="101"/>
      <c r="AH86" s="101"/>
      <c r="AI86" s="487"/>
      <c r="AJ86" s="101"/>
      <c r="AK86" s="101"/>
      <c r="AL86" s="101"/>
      <c r="AM86" s="101"/>
      <c r="AN86" s="487"/>
      <c r="AO86" s="101"/>
      <c r="AP86" s="101"/>
      <c r="AQ86" s="101"/>
      <c r="AR86" s="101"/>
      <c r="AS86" s="487"/>
      <c r="AT86" s="101"/>
      <c r="AU86" s="101"/>
      <c r="AV86" s="101"/>
      <c r="AW86" s="101"/>
      <c r="AX86" s="487"/>
      <c r="AY86" s="101"/>
      <c r="AZ86" s="101"/>
      <c r="BA86" s="101"/>
      <c r="BB86" s="101"/>
      <c r="BC86" s="487"/>
      <c r="BD86" s="101"/>
      <c r="BE86" s="101"/>
      <c r="BF86" s="101"/>
      <c r="BG86" s="101"/>
      <c r="BH86" s="487"/>
      <c r="BI86" s="101"/>
      <c r="BJ86" s="101"/>
      <c r="BK86" s="101"/>
      <c r="BL86" s="101"/>
      <c r="BM86" s="487"/>
      <c r="BN86" s="101"/>
      <c r="BO86" s="101"/>
      <c r="BP86" s="101"/>
      <c r="BQ86" s="101"/>
      <c r="BR86" s="487"/>
      <c r="BS86" s="101"/>
      <c r="BT86" s="101"/>
      <c r="BU86" s="101"/>
      <c r="BV86" s="101"/>
      <c r="BW86" s="398"/>
    </row>
    <row r="87" spans="1:75" ht="12.75" hidden="1" customHeight="1" x14ac:dyDescent="0.2">
      <c r="A87" s="388"/>
      <c r="B87" s="388"/>
      <c r="C87" s="388"/>
      <c r="D87" s="398" t="s">
        <v>487</v>
      </c>
      <c r="E87" s="404"/>
      <c r="F87" s="388"/>
      <c r="G87" s="101">
        <v>0</v>
      </c>
      <c r="H87" s="101"/>
      <c r="I87" s="101"/>
      <c r="J87" s="487"/>
      <c r="K87" s="101"/>
      <c r="L87" s="101">
        <f>SUM(L88:L90)</f>
        <v>0</v>
      </c>
      <c r="M87" s="101"/>
      <c r="N87" s="101"/>
      <c r="O87" s="487"/>
      <c r="P87" s="101"/>
      <c r="Q87" s="101">
        <f>SUM(Q88:Q90)</f>
        <v>0</v>
      </c>
      <c r="R87" s="101"/>
      <c r="S87" s="101"/>
      <c r="T87" s="487"/>
      <c r="U87" s="101"/>
      <c r="V87" s="101">
        <f>SUM(V88:V90)</f>
        <v>0</v>
      </c>
      <c r="W87" s="101"/>
      <c r="X87" s="101"/>
      <c r="Y87" s="487"/>
      <c r="Z87" s="101"/>
      <c r="AA87" s="101">
        <f>SUM(AA88:AA90)</f>
        <v>0</v>
      </c>
      <c r="AB87" s="101"/>
      <c r="AC87" s="101"/>
      <c r="AD87" s="487"/>
      <c r="AE87" s="101"/>
      <c r="AF87" s="101">
        <f>SUM(AF88:AF90)</f>
        <v>0</v>
      </c>
      <c r="AG87" s="101"/>
      <c r="AH87" s="101"/>
      <c r="AI87" s="487"/>
      <c r="AJ87" s="101"/>
      <c r="AK87" s="101">
        <f>SUM(AK88:AK90)</f>
        <v>0</v>
      </c>
      <c r="AL87" s="101"/>
      <c r="AM87" s="101"/>
      <c r="AN87" s="487"/>
      <c r="AO87" s="101"/>
      <c r="AP87" s="101">
        <f>SUM(AP88:AP90)</f>
        <v>0</v>
      </c>
      <c r="AQ87" s="101"/>
      <c r="AR87" s="101"/>
      <c r="AS87" s="487"/>
      <c r="AT87" s="101"/>
      <c r="AU87" s="101">
        <f>SUM(AU88:AU90)</f>
        <v>0</v>
      </c>
      <c r="AV87" s="101"/>
      <c r="AW87" s="101"/>
      <c r="AX87" s="487"/>
      <c r="AY87" s="101"/>
      <c r="AZ87" s="101">
        <f>SUM(AZ88:AZ90)</f>
        <v>0</v>
      </c>
      <c r="BA87" s="101"/>
      <c r="BB87" s="101"/>
      <c r="BC87" s="487"/>
      <c r="BD87" s="101"/>
      <c r="BE87" s="101">
        <f>SUM(BE88:BE90)</f>
        <v>0</v>
      </c>
      <c r="BF87" s="101"/>
      <c r="BG87" s="101"/>
      <c r="BH87" s="487"/>
      <c r="BI87" s="101"/>
      <c r="BJ87" s="101">
        <f>SUM(BJ88:BJ90)</f>
        <v>0</v>
      </c>
      <c r="BK87" s="101"/>
      <c r="BL87" s="101"/>
      <c r="BM87" s="487"/>
      <c r="BN87" s="101"/>
      <c r="BO87" s="101">
        <f>SUM(BO88:BO90)</f>
        <v>0</v>
      </c>
      <c r="BP87" s="101"/>
      <c r="BQ87" s="101"/>
      <c r="BR87" s="487"/>
      <c r="BS87" s="101"/>
      <c r="BT87" s="101">
        <f>SUM(BT88:BT90)</f>
        <v>0</v>
      </c>
      <c r="BU87" s="101"/>
      <c r="BV87" s="101"/>
      <c r="BW87" s="398"/>
    </row>
    <row r="88" spans="1:75" ht="12.75" hidden="1" customHeight="1" x14ac:dyDescent="0.2">
      <c r="A88" s="388"/>
      <c r="B88" s="388"/>
      <c r="C88" s="388"/>
      <c r="D88" s="398" t="s">
        <v>373</v>
      </c>
      <c r="E88" s="404"/>
      <c r="F88" s="412"/>
      <c r="G88" s="485">
        <v>0</v>
      </c>
      <c r="H88" s="486"/>
      <c r="I88" s="101"/>
      <c r="J88" s="487"/>
      <c r="K88" s="488"/>
      <c r="L88" s="485">
        <v>0</v>
      </c>
      <c r="M88" s="486"/>
      <c r="N88" s="101"/>
      <c r="O88" s="487"/>
      <c r="P88" s="488"/>
      <c r="Q88" s="485">
        <v>0</v>
      </c>
      <c r="R88" s="486"/>
      <c r="S88" s="101"/>
      <c r="T88" s="487"/>
      <c r="U88" s="488"/>
      <c r="V88" s="485">
        <v>0</v>
      </c>
      <c r="W88" s="486"/>
      <c r="X88" s="101"/>
      <c r="Y88" s="487"/>
      <c r="Z88" s="488"/>
      <c r="AA88" s="485">
        <v>0</v>
      </c>
      <c r="AB88" s="486"/>
      <c r="AC88" s="101"/>
      <c r="AD88" s="487"/>
      <c r="AE88" s="488"/>
      <c r="AF88" s="485">
        <v>0</v>
      </c>
      <c r="AG88" s="486"/>
      <c r="AH88" s="101"/>
      <c r="AI88" s="487"/>
      <c r="AJ88" s="488"/>
      <c r="AK88" s="485">
        <v>0</v>
      </c>
      <c r="AL88" s="486"/>
      <c r="AM88" s="101"/>
      <c r="AN88" s="487"/>
      <c r="AO88" s="488"/>
      <c r="AP88" s="485">
        <v>0</v>
      </c>
      <c r="AQ88" s="486"/>
      <c r="AR88" s="101"/>
      <c r="AS88" s="487"/>
      <c r="AT88" s="488"/>
      <c r="AU88" s="485">
        <v>0</v>
      </c>
      <c r="AV88" s="486"/>
      <c r="AW88" s="101"/>
      <c r="AX88" s="487"/>
      <c r="AY88" s="488"/>
      <c r="AZ88" s="485">
        <v>0</v>
      </c>
      <c r="BA88" s="486"/>
      <c r="BB88" s="101"/>
      <c r="BC88" s="487"/>
      <c r="BD88" s="488"/>
      <c r="BE88" s="485">
        <v>0</v>
      </c>
      <c r="BF88" s="486"/>
      <c r="BG88" s="101"/>
      <c r="BH88" s="487"/>
      <c r="BI88" s="488"/>
      <c r="BJ88" s="485">
        <v>0</v>
      </c>
      <c r="BK88" s="486"/>
      <c r="BL88" s="101"/>
      <c r="BM88" s="487"/>
      <c r="BN88" s="488"/>
      <c r="BO88" s="485">
        <v>0</v>
      </c>
      <c r="BP88" s="486"/>
      <c r="BQ88" s="101"/>
      <c r="BR88" s="487"/>
      <c r="BS88" s="488"/>
      <c r="BT88" s="485">
        <f>SUM(L88:BO88)</f>
        <v>0</v>
      </c>
      <c r="BU88" s="486"/>
      <c r="BV88" s="101"/>
      <c r="BW88" s="398"/>
    </row>
    <row r="89" spans="1:75" ht="12.75" hidden="1" customHeight="1" x14ac:dyDescent="0.2">
      <c r="A89" s="388"/>
      <c r="B89" s="388"/>
      <c r="C89" s="388"/>
      <c r="D89" s="398" t="s">
        <v>375</v>
      </c>
      <c r="E89" s="404"/>
      <c r="F89" s="404"/>
      <c r="G89" s="101">
        <v>0</v>
      </c>
      <c r="H89" s="49"/>
      <c r="I89" s="101"/>
      <c r="J89" s="487"/>
      <c r="K89" s="487"/>
      <c r="L89" s="101">
        <v>0</v>
      </c>
      <c r="M89" s="49"/>
      <c r="N89" s="101"/>
      <c r="O89" s="487"/>
      <c r="P89" s="487"/>
      <c r="Q89" s="101">
        <v>0</v>
      </c>
      <c r="R89" s="49"/>
      <c r="S89" s="101"/>
      <c r="T89" s="487"/>
      <c r="U89" s="487"/>
      <c r="V89" s="101">
        <v>0</v>
      </c>
      <c r="W89" s="49"/>
      <c r="X89" s="101"/>
      <c r="Y89" s="487"/>
      <c r="Z89" s="487"/>
      <c r="AA89" s="101">
        <v>0</v>
      </c>
      <c r="AB89" s="49"/>
      <c r="AC89" s="101"/>
      <c r="AD89" s="487"/>
      <c r="AE89" s="487"/>
      <c r="AF89" s="101">
        <v>0</v>
      </c>
      <c r="AG89" s="49"/>
      <c r="AH89" s="101"/>
      <c r="AI89" s="487"/>
      <c r="AJ89" s="487"/>
      <c r="AK89" s="101">
        <v>0</v>
      </c>
      <c r="AL89" s="49"/>
      <c r="AM89" s="101"/>
      <c r="AN89" s="487"/>
      <c r="AO89" s="487"/>
      <c r="AP89" s="101">
        <v>0</v>
      </c>
      <c r="AQ89" s="49"/>
      <c r="AR89" s="101"/>
      <c r="AS89" s="487"/>
      <c r="AT89" s="487"/>
      <c r="AU89" s="101">
        <v>0</v>
      </c>
      <c r="AV89" s="49"/>
      <c r="AW89" s="101"/>
      <c r="AX89" s="487"/>
      <c r="AY89" s="487"/>
      <c r="AZ89" s="101">
        <v>0</v>
      </c>
      <c r="BA89" s="49"/>
      <c r="BB89" s="101"/>
      <c r="BC89" s="487"/>
      <c r="BD89" s="487"/>
      <c r="BE89" s="101">
        <v>0</v>
      </c>
      <c r="BF89" s="49"/>
      <c r="BG89" s="101"/>
      <c r="BH89" s="487"/>
      <c r="BI89" s="487"/>
      <c r="BJ89" s="101">
        <v>0</v>
      </c>
      <c r="BK89" s="49"/>
      <c r="BL89" s="101"/>
      <c r="BM89" s="487"/>
      <c r="BN89" s="487"/>
      <c r="BO89" s="101">
        <v>0</v>
      </c>
      <c r="BP89" s="49"/>
      <c r="BQ89" s="101"/>
      <c r="BR89" s="487"/>
      <c r="BS89" s="487"/>
      <c r="BT89" s="101">
        <f>SUM(L89:BO89)</f>
        <v>0</v>
      </c>
      <c r="BU89" s="49"/>
      <c r="BV89" s="101"/>
      <c r="BW89" s="398"/>
    </row>
    <row r="90" spans="1:75" ht="12.75" hidden="1" customHeight="1" x14ac:dyDescent="0.2">
      <c r="A90" s="388"/>
      <c r="B90" s="388"/>
      <c r="C90" s="388"/>
      <c r="D90" s="398" t="s">
        <v>383</v>
      </c>
      <c r="E90" s="404"/>
      <c r="F90" s="427"/>
      <c r="G90" s="496">
        <v>0</v>
      </c>
      <c r="H90" s="90"/>
      <c r="I90" s="101"/>
      <c r="J90" s="487"/>
      <c r="K90" s="497"/>
      <c r="L90" s="496">
        <v>0</v>
      </c>
      <c r="M90" s="90"/>
      <c r="N90" s="101"/>
      <c r="O90" s="487"/>
      <c r="P90" s="497"/>
      <c r="Q90" s="496">
        <v>0</v>
      </c>
      <c r="R90" s="90"/>
      <c r="S90" s="101"/>
      <c r="T90" s="487"/>
      <c r="U90" s="497"/>
      <c r="V90" s="496">
        <v>0</v>
      </c>
      <c r="W90" s="90"/>
      <c r="X90" s="101"/>
      <c r="Y90" s="487"/>
      <c r="Z90" s="497"/>
      <c r="AA90" s="496">
        <v>0</v>
      </c>
      <c r="AB90" s="90"/>
      <c r="AC90" s="101"/>
      <c r="AD90" s="487"/>
      <c r="AE90" s="497"/>
      <c r="AF90" s="496">
        <v>0</v>
      </c>
      <c r="AG90" s="90"/>
      <c r="AH90" s="101"/>
      <c r="AI90" s="487"/>
      <c r="AJ90" s="497"/>
      <c r="AK90" s="496">
        <v>0</v>
      </c>
      <c r="AL90" s="90"/>
      <c r="AM90" s="101"/>
      <c r="AN90" s="487"/>
      <c r="AO90" s="497"/>
      <c r="AP90" s="496">
        <v>0</v>
      </c>
      <c r="AQ90" s="90"/>
      <c r="AR90" s="101"/>
      <c r="AS90" s="487"/>
      <c r="AT90" s="497"/>
      <c r="AU90" s="496">
        <v>0</v>
      </c>
      <c r="AV90" s="90"/>
      <c r="AW90" s="101"/>
      <c r="AX90" s="487"/>
      <c r="AY90" s="497"/>
      <c r="AZ90" s="496">
        <v>0</v>
      </c>
      <c r="BA90" s="90"/>
      <c r="BB90" s="101"/>
      <c r="BC90" s="487"/>
      <c r="BD90" s="497"/>
      <c r="BE90" s="496">
        <v>0</v>
      </c>
      <c r="BF90" s="90"/>
      <c r="BG90" s="101"/>
      <c r="BH90" s="487"/>
      <c r="BI90" s="497"/>
      <c r="BJ90" s="496">
        <v>0</v>
      </c>
      <c r="BK90" s="90"/>
      <c r="BL90" s="101"/>
      <c r="BM90" s="487"/>
      <c r="BN90" s="497"/>
      <c r="BO90" s="496">
        <v>0</v>
      </c>
      <c r="BP90" s="90"/>
      <c r="BQ90" s="101"/>
      <c r="BR90" s="487"/>
      <c r="BS90" s="497"/>
      <c r="BT90" s="496">
        <f>SUM(L90:BO90)</f>
        <v>0</v>
      </c>
      <c r="BU90" s="90"/>
      <c r="BV90" s="101"/>
      <c r="BW90" s="398"/>
    </row>
    <row r="91" spans="1:75" ht="12.75" hidden="1" customHeight="1" x14ac:dyDescent="0.2">
      <c r="A91" s="388"/>
      <c r="B91" s="388"/>
      <c r="C91" s="388"/>
      <c r="D91" s="398"/>
      <c r="E91" s="404"/>
      <c r="F91" s="388"/>
      <c r="G91" s="101"/>
      <c r="H91" s="101"/>
      <c r="I91" s="101"/>
      <c r="J91" s="487"/>
      <c r="K91" s="101"/>
      <c r="L91" s="101"/>
      <c r="M91" s="101"/>
      <c r="N91" s="101"/>
      <c r="O91" s="487"/>
      <c r="P91" s="101"/>
      <c r="Q91" s="101"/>
      <c r="R91" s="101"/>
      <c r="S91" s="101"/>
      <c r="T91" s="487"/>
      <c r="U91" s="101"/>
      <c r="V91" s="101"/>
      <c r="W91" s="101"/>
      <c r="X91" s="101"/>
      <c r="Y91" s="487"/>
      <c r="Z91" s="101"/>
      <c r="AA91" s="101"/>
      <c r="AB91" s="101"/>
      <c r="AC91" s="101"/>
      <c r="AD91" s="487"/>
      <c r="AE91" s="101"/>
      <c r="AF91" s="101"/>
      <c r="AG91" s="101"/>
      <c r="AH91" s="101"/>
      <c r="AI91" s="487"/>
      <c r="AJ91" s="101"/>
      <c r="AK91" s="101"/>
      <c r="AL91" s="101"/>
      <c r="AM91" s="101"/>
      <c r="AN91" s="487"/>
      <c r="AO91" s="101"/>
      <c r="AP91" s="101"/>
      <c r="AQ91" s="101"/>
      <c r="AR91" s="101"/>
      <c r="AS91" s="487"/>
      <c r="AT91" s="101"/>
      <c r="AU91" s="101"/>
      <c r="AV91" s="101"/>
      <c r="AW91" s="101"/>
      <c r="AX91" s="487"/>
      <c r="AY91" s="101"/>
      <c r="AZ91" s="101"/>
      <c r="BA91" s="101"/>
      <c r="BB91" s="101"/>
      <c r="BC91" s="487"/>
      <c r="BD91" s="101"/>
      <c r="BE91" s="101"/>
      <c r="BF91" s="101"/>
      <c r="BG91" s="101"/>
      <c r="BH91" s="487"/>
      <c r="BI91" s="101"/>
      <c r="BJ91" s="101"/>
      <c r="BK91" s="101"/>
      <c r="BL91" s="101"/>
      <c r="BM91" s="487"/>
      <c r="BN91" s="101"/>
      <c r="BO91" s="101"/>
      <c r="BP91" s="101"/>
      <c r="BQ91" s="101"/>
      <c r="BR91" s="487"/>
      <c r="BS91" s="101"/>
      <c r="BT91" s="101"/>
      <c r="BU91" s="101"/>
      <c r="BV91" s="101"/>
      <c r="BW91" s="398"/>
    </row>
    <row r="92" spans="1:75" ht="12.75" hidden="1" customHeight="1" x14ac:dyDescent="0.2">
      <c r="A92" s="388"/>
      <c r="B92" s="388"/>
      <c r="C92" s="388"/>
      <c r="D92" s="398" t="s">
        <v>488</v>
      </c>
      <c r="E92" s="404"/>
      <c r="F92" s="388"/>
      <c r="G92" s="101">
        <v>0</v>
      </c>
      <c r="H92" s="101"/>
      <c r="I92" s="101"/>
      <c r="J92" s="487"/>
      <c r="K92" s="101"/>
      <c r="L92" s="101">
        <f>SUM(L93:L95)</f>
        <v>0</v>
      </c>
      <c r="M92" s="101"/>
      <c r="N92" s="101"/>
      <c r="O92" s="487"/>
      <c r="P92" s="101"/>
      <c r="Q92" s="101">
        <f>SUM(Q93:Q95)</f>
        <v>0</v>
      </c>
      <c r="R92" s="101"/>
      <c r="S92" s="101"/>
      <c r="T92" s="487"/>
      <c r="U92" s="101"/>
      <c r="V92" s="101">
        <f>SUM(V93:V95)</f>
        <v>0</v>
      </c>
      <c r="W92" s="101"/>
      <c r="X92" s="101"/>
      <c r="Y92" s="487"/>
      <c r="Z92" s="101"/>
      <c r="AA92" s="101">
        <f>SUM(AA93:AA95)</f>
        <v>0</v>
      </c>
      <c r="AB92" s="101"/>
      <c r="AC92" s="101"/>
      <c r="AD92" s="487"/>
      <c r="AE92" s="101"/>
      <c r="AF92" s="101">
        <f>SUM(AF93:AF95)</f>
        <v>0</v>
      </c>
      <c r="AG92" s="101"/>
      <c r="AH92" s="101"/>
      <c r="AI92" s="487"/>
      <c r="AJ92" s="101"/>
      <c r="AK92" s="101">
        <f>SUM(AK93:AK95)</f>
        <v>0</v>
      </c>
      <c r="AL92" s="101"/>
      <c r="AM92" s="101"/>
      <c r="AN92" s="487"/>
      <c r="AO92" s="101"/>
      <c r="AP92" s="101">
        <f>SUM(AP93:AP95)</f>
        <v>0</v>
      </c>
      <c r="AQ92" s="101"/>
      <c r="AR92" s="101"/>
      <c r="AS92" s="487"/>
      <c r="AT92" s="101"/>
      <c r="AU92" s="101">
        <f>SUM(AU93:AU95)</f>
        <v>0</v>
      </c>
      <c r="AV92" s="101"/>
      <c r="AW92" s="101"/>
      <c r="AX92" s="487"/>
      <c r="AY92" s="101"/>
      <c r="AZ92" s="101">
        <f>SUM(AZ93:AZ95)</f>
        <v>0</v>
      </c>
      <c r="BA92" s="101"/>
      <c r="BB92" s="101"/>
      <c r="BC92" s="487"/>
      <c r="BD92" s="101"/>
      <c r="BE92" s="101">
        <f>SUM(BE93:BE95)</f>
        <v>0</v>
      </c>
      <c r="BF92" s="101"/>
      <c r="BG92" s="101"/>
      <c r="BH92" s="487"/>
      <c r="BI92" s="101"/>
      <c r="BJ92" s="101">
        <f>SUM(BJ93:BJ95)</f>
        <v>0</v>
      </c>
      <c r="BK92" s="101"/>
      <c r="BL92" s="101"/>
      <c r="BM92" s="487"/>
      <c r="BN92" s="101"/>
      <c r="BO92" s="101">
        <f>SUM(BO93:BO95)</f>
        <v>0</v>
      </c>
      <c r="BP92" s="101"/>
      <c r="BQ92" s="101"/>
      <c r="BR92" s="487"/>
      <c r="BS92" s="101"/>
      <c r="BT92" s="101">
        <f>SUM(BT93:BT95)</f>
        <v>0</v>
      </c>
      <c r="BU92" s="101"/>
      <c r="BV92" s="101"/>
      <c r="BW92" s="398"/>
    </row>
    <row r="93" spans="1:75" ht="12.75" hidden="1" customHeight="1" x14ac:dyDescent="0.2">
      <c r="A93" s="388"/>
      <c r="B93" s="388"/>
      <c r="C93" s="388"/>
      <c r="D93" s="398" t="s">
        <v>373</v>
      </c>
      <c r="E93" s="404"/>
      <c r="F93" s="412"/>
      <c r="G93" s="485">
        <v>0</v>
      </c>
      <c r="H93" s="486"/>
      <c r="I93" s="101"/>
      <c r="J93" s="487"/>
      <c r="K93" s="488"/>
      <c r="L93" s="485">
        <v>0</v>
      </c>
      <c r="M93" s="486"/>
      <c r="N93" s="101"/>
      <c r="O93" s="487"/>
      <c r="P93" s="488"/>
      <c r="Q93" s="485">
        <v>0</v>
      </c>
      <c r="R93" s="486"/>
      <c r="S93" s="101"/>
      <c r="T93" s="487"/>
      <c r="U93" s="488"/>
      <c r="V93" s="485">
        <v>0</v>
      </c>
      <c r="W93" s="486"/>
      <c r="X93" s="101"/>
      <c r="Y93" s="487"/>
      <c r="Z93" s="488"/>
      <c r="AA93" s="485">
        <v>0</v>
      </c>
      <c r="AB93" s="486"/>
      <c r="AC93" s="101"/>
      <c r="AD93" s="487"/>
      <c r="AE93" s="488"/>
      <c r="AF93" s="485">
        <v>0</v>
      </c>
      <c r="AG93" s="486"/>
      <c r="AH93" s="101"/>
      <c r="AI93" s="487"/>
      <c r="AJ93" s="488"/>
      <c r="AK93" s="485">
        <v>0</v>
      </c>
      <c r="AL93" s="486"/>
      <c r="AM93" s="101"/>
      <c r="AN93" s="487"/>
      <c r="AO93" s="488"/>
      <c r="AP93" s="485">
        <v>0</v>
      </c>
      <c r="AQ93" s="486"/>
      <c r="AR93" s="101"/>
      <c r="AS93" s="487"/>
      <c r="AT93" s="488"/>
      <c r="AU93" s="485">
        <v>0</v>
      </c>
      <c r="AV93" s="486"/>
      <c r="AW93" s="101"/>
      <c r="AX93" s="487"/>
      <c r="AY93" s="488"/>
      <c r="AZ93" s="485">
        <v>0</v>
      </c>
      <c r="BA93" s="486"/>
      <c r="BB93" s="101"/>
      <c r="BC93" s="487"/>
      <c r="BD93" s="488"/>
      <c r="BE93" s="485">
        <v>0</v>
      </c>
      <c r="BF93" s="486"/>
      <c r="BG93" s="101"/>
      <c r="BH93" s="487"/>
      <c r="BI93" s="488"/>
      <c r="BJ93" s="485">
        <v>0</v>
      </c>
      <c r="BK93" s="486"/>
      <c r="BL93" s="101"/>
      <c r="BM93" s="487"/>
      <c r="BN93" s="488"/>
      <c r="BO93" s="485">
        <v>0</v>
      </c>
      <c r="BP93" s="486"/>
      <c r="BQ93" s="101"/>
      <c r="BR93" s="487"/>
      <c r="BS93" s="488"/>
      <c r="BT93" s="485">
        <f>SUM(L93:BO93)</f>
        <v>0</v>
      </c>
      <c r="BU93" s="486"/>
      <c r="BV93" s="101"/>
      <c r="BW93" s="398"/>
    </row>
    <row r="94" spans="1:75" ht="12.75" hidden="1" customHeight="1" x14ac:dyDescent="0.2">
      <c r="A94" s="388"/>
      <c r="B94" s="388"/>
      <c r="C94" s="388"/>
      <c r="D94" s="398" t="s">
        <v>375</v>
      </c>
      <c r="E94" s="404"/>
      <c r="F94" s="404"/>
      <c r="G94" s="101">
        <v>0</v>
      </c>
      <c r="H94" s="49"/>
      <c r="I94" s="101"/>
      <c r="J94" s="487"/>
      <c r="K94" s="487"/>
      <c r="L94" s="101">
        <v>0</v>
      </c>
      <c r="M94" s="49"/>
      <c r="N94" s="101"/>
      <c r="O94" s="487"/>
      <c r="P94" s="487"/>
      <c r="Q94" s="101">
        <v>0</v>
      </c>
      <c r="R94" s="49"/>
      <c r="S94" s="101"/>
      <c r="T94" s="487"/>
      <c r="U94" s="487"/>
      <c r="V94" s="101">
        <v>0</v>
      </c>
      <c r="W94" s="49"/>
      <c r="X94" s="101"/>
      <c r="Y94" s="487"/>
      <c r="Z94" s="487"/>
      <c r="AA94" s="101">
        <v>0</v>
      </c>
      <c r="AB94" s="49"/>
      <c r="AC94" s="101"/>
      <c r="AD94" s="487"/>
      <c r="AE94" s="487"/>
      <c r="AF94" s="101">
        <v>0</v>
      </c>
      <c r="AG94" s="49"/>
      <c r="AH94" s="101"/>
      <c r="AI94" s="487"/>
      <c r="AJ94" s="487"/>
      <c r="AK94" s="101">
        <v>0</v>
      </c>
      <c r="AL94" s="49"/>
      <c r="AM94" s="101"/>
      <c r="AN94" s="487"/>
      <c r="AO94" s="487"/>
      <c r="AP94" s="101">
        <v>0</v>
      </c>
      <c r="AQ94" s="49"/>
      <c r="AR94" s="101"/>
      <c r="AS94" s="487"/>
      <c r="AT94" s="487"/>
      <c r="AU94" s="101">
        <v>0</v>
      </c>
      <c r="AV94" s="49"/>
      <c r="AW94" s="101"/>
      <c r="AX94" s="487"/>
      <c r="AY94" s="487"/>
      <c r="AZ94" s="101">
        <v>0</v>
      </c>
      <c r="BA94" s="49"/>
      <c r="BB94" s="101"/>
      <c r="BC94" s="487"/>
      <c r="BD94" s="487"/>
      <c r="BE94" s="101">
        <v>0</v>
      </c>
      <c r="BF94" s="49"/>
      <c r="BG94" s="101"/>
      <c r="BH94" s="487"/>
      <c r="BI94" s="487"/>
      <c r="BJ94" s="101">
        <v>0</v>
      </c>
      <c r="BK94" s="49"/>
      <c r="BL94" s="101"/>
      <c r="BM94" s="487"/>
      <c r="BN94" s="487"/>
      <c r="BO94" s="101">
        <v>0</v>
      </c>
      <c r="BP94" s="49"/>
      <c r="BQ94" s="101"/>
      <c r="BR94" s="487"/>
      <c r="BS94" s="487"/>
      <c r="BT94" s="101">
        <f>SUM(L94:BO94)</f>
        <v>0</v>
      </c>
      <c r="BU94" s="49"/>
      <c r="BV94" s="101"/>
      <c r="BW94" s="398"/>
    </row>
    <row r="95" spans="1:75" ht="12.75" hidden="1" customHeight="1" x14ac:dyDescent="0.2">
      <c r="A95" s="388"/>
      <c r="B95" s="388"/>
      <c r="C95" s="388"/>
      <c r="D95" s="398" t="s">
        <v>383</v>
      </c>
      <c r="E95" s="404"/>
      <c r="F95" s="427"/>
      <c r="G95" s="496">
        <v>0</v>
      </c>
      <c r="H95" s="90"/>
      <c r="I95" s="101"/>
      <c r="J95" s="487"/>
      <c r="K95" s="497"/>
      <c r="L95" s="496">
        <v>0</v>
      </c>
      <c r="M95" s="90"/>
      <c r="N95" s="101"/>
      <c r="O95" s="487"/>
      <c r="P95" s="497"/>
      <c r="Q95" s="496">
        <v>0</v>
      </c>
      <c r="R95" s="90"/>
      <c r="S95" s="101"/>
      <c r="T95" s="487"/>
      <c r="U95" s="497"/>
      <c r="V95" s="496">
        <v>0</v>
      </c>
      <c r="W95" s="90"/>
      <c r="X95" s="101"/>
      <c r="Y95" s="487"/>
      <c r="Z95" s="497"/>
      <c r="AA95" s="496">
        <v>0</v>
      </c>
      <c r="AB95" s="90"/>
      <c r="AC95" s="101"/>
      <c r="AD95" s="487"/>
      <c r="AE95" s="497"/>
      <c r="AF95" s="496">
        <v>0</v>
      </c>
      <c r="AG95" s="90"/>
      <c r="AH95" s="101"/>
      <c r="AI95" s="487"/>
      <c r="AJ95" s="497"/>
      <c r="AK95" s="496">
        <v>0</v>
      </c>
      <c r="AL95" s="90"/>
      <c r="AM95" s="101"/>
      <c r="AN95" s="487"/>
      <c r="AO95" s="497"/>
      <c r="AP95" s="496">
        <v>0</v>
      </c>
      <c r="AQ95" s="90"/>
      <c r="AR95" s="101"/>
      <c r="AS95" s="487"/>
      <c r="AT95" s="497"/>
      <c r="AU95" s="496">
        <v>0</v>
      </c>
      <c r="AV95" s="90"/>
      <c r="AW95" s="101"/>
      <c r="AX95" s="487"/>
      <c r="AY95" s="497"/>
      <c r="AZ95" s="496">
        <v>0</v>
      </c>
      <c r="BA95" s="90"/>
      <c r="BB95" s="101"/>
      <c r="BC95" s="487"/>
      <c r="BD95" s="497"/>
      <c r="BE95" s="496">
        <v>0</v>
      </c>
      <c r="BF95" s="90"/>
      <c r="BG95" s="101"/>
      <c r="BH95" s="487"/>
      <c r="BI95" s="497"/>
      <c r="BJ95" s="496">
        <v>0</v>
      </c>
      <c r="BK95" s="90"/>
      <c r="BL95" s="101"/>
      <c r="BM95" s="487"/>
      <c r="BN95" s="497"/>
      <c r="BO95" s="496">
        <v>0</v>
      </c>
      <c r="BP95" s="90"/>
      <c r="BQ95" s="101"/>
      <c r="BR95" s="487"/>
      <c r="BS95" s="497"/>
      <c r="BT95" s="496">
        <f>SUM(L95:BO95)</f>
        <v>0</v>
      </c>
      <c r="BU95" s="90"/>
      <c r="BV95" s="101"/>
      <c r="BW95" s="398"/>
    </row>
    <row r="96" spans="1:75" ht="12.75" hidden="1" customHeight="1" x14ac:dyDescent="0.2">
      <c r="A96" s="388"/>
      <c r="B96" s="388"/>
      <c r="C96" s="388"/>
      <c r="D96" s="398"/>
      <c r="E96" s="404"/>
      <c r="F96" s="388"/>
      <c r="G96" s="101"/>
      <c r="H96" s="101"/>
      <c r="I96" s="101"/>
      <c r="J96" s="487"/>
      <c r="K96" s="101"/>
      <c r="L96" s="101"/>
      <c r="M96" s="101"/>
      <c r="N96" s="101"/>
      <c r="O96" s="487"/>
      <c r="P96" s="101"/>
      <c r="Q96" s="101"/>
      <c r="R96" s="101"/>
      <c r="S96" s="101"/>
      <c r="T96" s="487"/>
      <c r="U96" s="101"/>
      <c r="V96" s="101"/>
      <c r="W96" s="101"/>
      <c r="X96" s="101"/>
      <c r="Y96" s="487"/>
      <c r="Z96" s="101"/>
      <c r="AA96" s="101"/>
      <c r="AB96" s="101"/>
      <c r="AC96" s="101"/>
      <c r="AD96" s="487"/>
      <c r="AE96" s="101"/>
      <c r="AF96" s="101"/>
      <c r="AG96" s="101"/>
      <c r="AH96" s="101"/>
      <c r="AI96" s="487"/>
      <c r="AJ96" s="101"/>
      <c r="AK96" s="101"/>
      <c r="AL96" s="101"/>
      <c r="AM96" s="101"/>
      <c r="AN96" s="487"/>
      <c r="AO96" s="101"/>
      <c r="AP96" s="101"/>
      <c r="AQ96" s="101"/>
      <c r="AR96" s="101"/>
      <c r="AS96" s="487"/>
      <c r="AT96" s="101"/>
      <c r="AU96" s="101"/>
      <c r="AV96" s="101"/>
      <c r="AW96" s="101"/>
      <c r="AX96" s="487"/>
      <c r="AY96" s="101"/>
      <c r="AZ96" s="101"/>
      <c r="BA96" s="101"/>
      <c r="BB96" s="101"/>
      <c r="BC96" s="487"/>
      <c r="BD96" s="101"/>
      <c r="BE96" s="101"/>
      <c r="BF96" s="101"/>
      <c r="BG96" s="101"/>
      <c r="BH96" s="487"/>
      <c r="BI96" s="101"/>
      <c r="BJ96" s="101"/>
      <c r="BK96" s="101"/>
      <c r="BL96" s="101"/>
      <c r="BM96" s="487"/>
      <c r="BN96" s="101"/>
      <c r="BO96" s="101"/>
      <c r="BP96" s="101"/>
      <c r="BQ96" s="101"/>
      <c r="BR96" s="487"/>
      <c r="BS96" s="101"/>
      <c r="BT96" s="101"/>
      <c r="BU96" s="101"/>
      <c r="BV96" s="101"/>
      <c r="BW96" s="398"/>
    </row>
    <row r="97" spans="1:75" ht="12.75" hidden="1" customHeight="1" x14ac:dyDescent="0.2">
      <c r="A97" s="388"/>
      <c r="B97" s="388"/>
      <c r="C97" s="388"/>
      <c r="D97" s="398" t="s">
        <v>489</v>
      </c>
      <c r="E97" s="404"/>
      <c r="F97" s="388"/>
      <c r="G97" s="101">
        <v>0</v>
      </c>
      <c r="H97" s="101"/>
      <c r="I97" s="101"/>
      <c r="J97" s="487"/>
      <c r="K97" s="101"/>
      <c r="L97" s="101">
        <f>SUM(L98:L100)</f>
        <v>0</v>
      </c>
      <c r="M97" s="101"/>
      <c r="N97" s="101"/>
      <c r="O97" s="487"/>
      <c r="P97" s="101"/>
      <c r="Q97" s="101">
        <f>SUM(Q98:Q100)</f>
        <v>0</v>
      </c>
      <c r="R97" s="101"/>
      <c r="S97" s="101"/>
      <c r="T97" s="487"/>
      <c r="U97" s="101"/>
      <c r="V97" s="101">
        <f>SUM(V98:V100)</f>
        <v>0</v>
      </c>
      <c r="W97" s="101"/>
      <c r="X97" s="101"/>
      <c r="Y97" s="487"/>
      <c r="Z97" s="101"/>
      <c r="AA97" s="101">
        <f>SUM(AA98:AA100)</f>
        <v>0</v>
      </c>
      <c r="AB97" s="101"/>
      <c r="AC97" s="101"/>
      <c r="AD97" s="487"/>
      <c r="AE97" s="101"/>
      <c r="AF97" s="101">
        <f>SUM(AF98:AF100)</f>
        <v>0</v>
      </c>
      <c r="AG97" s="101"/>
      <c r="AH97" s="101"/>
      <c r="AI97" s="487"/>
      <c r="AJ97" s="101"/>
      <c r="AK97" s="101">
        <f>SUM(AK98:AK100)</f>
        <v>0</v>
      </c>
      <c r="AL97" s="101"/>
      <c r="AM97" s="101"/>
      <c r="AN97" s="487"/>
      <c r="AO97" s="101"/>
      <c r="AP97" s="101">
        <f>SUM(AP98:AP100)</f>
        <v>0</v>
      </c>
      <c r="AQ97" s="101"/>
      <c r="AR97" s="101"/>
      <c r="AS97" s="487"/>
      <c r="AT97" s="101"/>
      <c r="AU97" s="101">
        <f>SUM(AU98:AU100)</f>
        <v>0</v>
      </c>
      <c r="AV97" s="101"/>
      <c r="AW97" s="101"/>
      <c r="AX97" s="487"/>
      <c r="AY97" s="101"/>
      <c r="AZ97" s="101">
        <f>SUM(AZ98:AZ100)</f>
        <v>0</v>
      </c>
      <c r="BA97" s="101"/>
      <c r="BB97" s="101"/>
      <c r="BC97" s="487"/>
      <c r="BD97" s="101"/>
      <c r="BE97" s="101">
        <f>SUM(BE98:BE100)</f>
        <v>0</v>
      </c>
      <c r="BF97" s="101"/>
      <c r="BG97" s="101"/>
      <c r="BH97" s="487"/>
      <c r="BI97" s="101"/>
      <c r="BJ97" s="101">
        <f>SUM(BJ98:BJ100)</f>
        <v>0</v>
      </c>
      <c r="BK97" s="101"/>
      <c r="BL97" s="101"/>
      <c r="BM97" s="487"/>
      <c r="BN97" s="101"/>
      <c r="BO97" s="101">
        <f>SUM(BO98:BO100)</f>
        <v>0</v>
      </c>
      <c r="BP97" s="101"/>
      <c r="BQ97" s="101"/>
      <c r="BR97" s="487"/>
      <c r="BS97" s="101"/>
      <c r="BT97" s="101">
        <f>SUM(BT98:BT100)</f>
        <v>0</v>
      </c>
      <c r="BU97" s="101"/>
      <c r="BV97" s="101"/>
      <c r="BW97" s="398"/>
    </row>
    <row r="98" spans="1:75" ht="12.75" hidden="1" customHeight="1" x14ac:dyDescent="0.2">
      <c r="A98" s="388"/>
      <c r="B98" s="388"/>
      <c r="C98" s="388"/>
      <c r="D98" s="398" t="s">
        <v>373</v>
      </c>
      <c r="E98" s="404"/>
      <c r="F98" s="412"/>
      <c r="G98" s="485">
        <v>0</v>
      </c>
      <c r="H98" s="486"/>
      <c r="I98" s="101"/>
      <c r="J98" s="487"/>
      <c r="K98" s="488"/>
      <c r="L98" s="485">
        <v>0</v>
      </c>
      <c r="M98" s="486"/>
      <c r="N98" s="101"/>
      <c r="O98" s="487"/>
      <c r="P98" s="488"/>
      <c r="Q98" s="485">
        <v>0</v>
      </c>
      <c r="R98" s="486"/>
      <c r="S98" s="101"/>
      <c r="T98" s="487"/>
      <c r="U98" s="488"/>
      <c r="V98" s="485">
        <v>0</v>
      </c>
      <c r="W98" s="486"/>
      <c r="X98" s="101"/>
      <c r="Y98" s="487"/>
      <c r="Z98" s="488"/>
      <c r="AA98" s="485">
        <v>0</v>
      </c>
      <c r="AB98" s="486"/>
      <c r="AC98" s="101"/>
      <c r="AD98" s="487"/>
      <c r="AE98" s="488"/>
      <c r="AF98" s="485">
        <v>0</v>
      </c>
      <c r="AG98" s="486"/>
      <c r="AH98" s="101"/>
      <c r="AI98" s="487"/>
      <c r="AJ98" s="488"/>
      <c r="AK98" s="485">
        <v>0</v>
      </c>
      <c r="AL98" s="486"/>
      <c r="AM98" s="101"/>
      <c r="AN98" s="487"/>
      <c r="AO98" s="488"/>
      <c r="AP98" s="485">
        <v>0</v>
      </c>
      <c r="AQ98" s="486"/>
      <c r="AR98" s="101"/>
      <c r="AS98" s="487"/>
      <c r="AT98" s="488"/>
      <c r="AU98" s="485">
        <v>0</v>
      </c>
      <c r="AV98" s="486"/>
      <c r="AW98" s="101"/>
      <c r="AX98" s="487"/>
      <c r="AY98" s="488"/>
      <c r="AZ98" s="485">
        <v>0</v>
      </c>
      <c r="BA98" s="486"/>
      <c r="BB98" s="101"/>
      <c r="BC98" s="487"/>
      <c r="BD98" s="488"/>
      <c r="BE98" s="485">
        <v>0</v>
      </c>
      <c r="BF98" s="486"/>
      <c r="BG98" s="101"/>
      <c r="BH98" s="487"/>
      <c r="BI98" s="488"/>
      <c r="BJ98" s="485">
        <v>0</v>
      </c>
      <c r="BK98" s="486"/>
      <c r="BL98" s="101"/>
      <c r="BM98" s="487"/>
      <c r="BN98" s="488"/>
      <c r="BO98" s="485">
        <v>0</v>
      </c>
      <c r="BP98" s="486"/>
      <c r="BQ98" s="101"/>
      <c r="BR98" s="487"/>
      <c r="BS98" s="488"/>
      <c r="BT98" s="485">
        <f>SUM(L98:BO98)</f>
        <v>0</v>
      </c>
      <c r="BU98" s="486"/>
      <c r="BV98" s="101"/>
      <c r="BW98" s="398"/>
    </row>
    <row r="99" spans="1:75" ht="12.75" hidden="1" customHeight="1" x14ac:dyDescent="0.2">
      <c r="A99" s="388"/>
      <c r="B99" s="388"/>
      <c r="C99" s="388"/>
      <c r="D99" s="398" t="s">
        <v>375</v>
      </c>
      <c r="E99" s="404"/>
      <c r="F99" s="404"/>
      <c r="G99" s="101">
        <v>0</v>
      </c>
      <c r="H99" s="49"/>
      <c r="I99" s="101"/>
      <c r="J99" s="487"/>
      <c r="K99" s="487"/>
      <c r="L99" s="101">
        <v>0</v>
      </c>
      <c r="M99" s="49"/>
      <c r="N99" s="101"/>
      <c r="O99" s="487"/>
      <c r="P99" s="487"/>
      <c r="Q99" s="101">
        <v>0</v>
      </c>
      <c r="R99" s="49"/>
      <c r="S99" s="101"/>
      <c r="T99" s="487"/>
      <c r="U99" s="487"/>
      <c r="V99" s="101">
        <v>0</v>
      </c>
      <c r="W99" s="49"/>
      <c r="X99" s="101"/>
      <c r="Y99" s="487"/>
      <c r="Z99" s="487"/>
      <c r="AA99" s="101">
        <v>0</v>
      </c>
      <c r="AB99" s="49"/>
      <c r="AC99" s="101"/>
      <c r="AD99" s="487"/>
      <c r="AE99" s="487"/>
      <c r="AF99" s="101">
        <v>0</v>
      </c>
      <c r="AG99" s="49"/>
      <c r="AH99" s="101"/>
      <c r="AI99" s="487"/>
      <c r="AJ99" s="487"/>
      <c r="AK99" s="101">
        <v>0</v>
      </c>
      <c r="AL99" s="49"/>
      <c r="AM99" s="101"/>
      <c r="AN99" s="487"/>
      <c r="AO99" s="487"/>
      <c r="AP99" s="101">
        <v>0</v>
      </c>
      <c r="AQ99" s="49"/>
      <c r="AR99" s="101"/>
      <c r="AS99" s="487"/>
      <c r="AT99" s="487"/>
      <c r="AU99" s="101">
        <v>0</v>
      </c>
      <c r="AV99" s="49"/>
      <c r="AW99" s="101"/>
      <c r="AX99" s="487"/>
      <c r="AY99" s="487"/>
      <c r="AZ99" s="101">
        <v>0</v>
      </c>
      <c r="BA99" s="49"/>
      <c r="BB99" s="101"/>
      <c r="BC99" s="487"/>
      <c r="BD99" s="487"/>
      <c r="BE99" s="101">
        <v>0</v>
      </c>
      <c r="BF99" s="49"/>
      <c r="BG99" s="101"/>
      <c r="BH99" s="487"/>
      <c r="BI99" s="487"/>
      <c r="BJ99" s="101">
        <v>0</v>
      </c>
      <c r="BK99" s="49"/>
      <c r="BL99" s="101"/>
      <c r="BM99" s="487"/>
      <c r="BN99" s="487"/>
      <c r="BO99" s="101">
        <v>0</v>
      </c>
      <c r="BP99" s="49"/>
      <c r="BQ99" s="101"/>
      <c r="BR99" s="487"/>
      <c r="BS99" s="487"/>
      <c r="BT99" s="101">
        <f>SUM(L99:BO99)</f>
        <v>0</v>
      </c>
      <c r="BU99" s="49"/>
      <c r="BV99" s="101"/>
      <c r="BW99" s="398"/>
    </row>
    <row r="100" spans="1:75" ht="12.75" hidden="1" customHeight="1" x14ac:dyDescent="0.2">
      <c r="A100" s="388"/>
      <c r="B100" s="388"/>
      <c r="C100" s="388"/>
      <c r="D100" s="398" t="s">
        <v>383</v>
      </c>
      <c r="E100" s="404"/>
      <c r="F100" s="427"/>
      <c r="G100" s="496">
        <v>0</v>
      </c>
      <c r="H100" s="90"/>
      <c r="I100" s="101"/>
      <c r="J100" s="487"/>
      <c r="K100" s="497"/>
      <c r="L100" s="496">
        <v>0</v>
      </c>
      <c r="M100" s="90"/>
      <c r="N100" s="101"/>
      <c r="O100" s="487"/>
      <c r="P100" s="497"/>
      <c r="Q100" s="496">
        <v>0</v>
      </c>
      <c r="R100" s="90"/>
      <c r="S100" s="101"/>
      <c r="T100" s="487"/>
      <c r="U100" s="497"/>
      <c r="V100" s="496">
        <v>0</v>
      </c>
      <c r="W100" s="90"/>
      <c r="X100" s="101"/>
      <c r="Y100" s="487"/>
      <c r="Z100" s="497"/>
      <c r="AA100" s="496">
        <v>0</v>
      </c>
      <c r="AB100" s="90"/>
      <c r="AC100" s="101"/>
      <c r="AD100" s="487"/>
      <c r="AE100" s="497"/>
      <c r="AF100" s="496">
        <v>0</v>
      </c>
      <c r="AG100" s="90"/>
      <c r="AH100" s="101"/>
      <c r="AI100" s="487"/>
      <c r="AJ100" s="497"/>
      <c r="AK100" s="496">
        <v>0</v>
      </c>
      <c r="AL100" s="90"/>
      <c r="AM100" s="101"/>
      <c r="AN100" s="487"/>
      <c r="AO100" s="497"/>
      <c r="AP100" s="496">
        <v>0</v>
      </c>
      <c r="AQ100" s="90"/>
      <c r="AR100" s="101"/>
      <c r="AS100" s="487"/>
      <c r="AT100" s="497"/>
      <c r="AU100" s="496">
        <v>0</v>
      </c>
      <c r="AV100" s="90"/>
      <c r="AW100" s="101"/>
      <c r="AX100" s="487"/>
      <c r="AY100" s="497"/>
      <c r="AZ100" s="496">
        <v>0</v>
      </c>
      <c r="BA100" s="90"/>
      <c r="BB100" s="101"/>
      <c r="BC100" s="487"/>
      <c r="BD100" s="497"/>
      <c r="BE100" s="496">
        <v>0</v>
      </c>
      <c r="BF100" s="90"/>
      <c r="BG100" s="101"/>
      <c r="BH100" s="487"/>
      <c r="BI100" s="497"/>
      <c r="BJ100" s="496">
        <v>0</v>
      </c>
      <c r="BK100" s="90"/>
      <c r="BL100" s="101"/>
      <c r="BM100" s="487"/>
      <c r="BN100" s="497"/>
      <c r="BO100" s="496">
        <v>0</v>
      </c>
      <c r="BP100" s="90"/>
      <c r="BQ100" s="101"/>
      <c r="BR100" s="487"/>
      <c r="BS100" s="497"/>
      <c r="BT100" s="496">
        <f>SUM(L100:BO100)</f>
        <v>0</v>
      </c>
      <c r="BU100" s="90"/>
      <c r="BV100" s="101"/>
      <c r="BW100" s="398"/>
    </row>
    <row r="101" spans="1:75" ht="12.75" hidden="1" x14ac:dyDescent="0.2">
      <c r="A101" s="388"/>
      <c r="B101" s="388"/>
      <c r="C101" s="388"/>
      <c r="D101" s="398"/>
      <c r="E101" s="404"/>
      <c r="F101" s="388"/>
      <c r="G101" s="101"/>
      <c r="H101" s="101"/>
      <c r="I101" s="101"/>
      <c r="J101" s="487"/>
      <c r="K101" s="101"/>
      <c r="L101" s="101"/>
      <c r="M101" s="101"/>
      <c r="N101" s="101"/>
      <c r="O101" s="487"/>
      <c r="P101" s="101"/>
      <c r="Q101" s="101"/>
      <c r="R101" s="101"/>
      <c r="S101" s="101"/>
      <c r="T101" s="487"/>
      <c r="U101" s="101"/>
      <c r="V101" s="101"/>
      <c r="W101" s="101"/>
      <c r="X101" s="101"/>
      <c r="Y101" s="487"/>
      <c r="Z101" s="101"/>
      <c r="AA101" s="101"/>
      <c r="AB101" s="101"/>
      <c r="AC101" s="101"/>
      <c r="AD101" s="487"/>
      <c r="AE101" s="101"/>
      <c r="AF101" s="101"/>
      <c r="AG101" s="101"/>
      <c r="AH101" s="101"/>
      <c r="AI101" s="487"/>
      <c r="AJ101" s="101"/>
      <c r="AK101" s="101"/>
      <c r="AL101" s="101"/>
      <c r="AM101" s="101"/>
      <c r="AN101" s="487"/>
      <c r="AO101" s="101"/>
      <c r="AP101" s="101"/>
      <c r="AQ101" s="101"/>
      <c r="AR101" s="101"/>
      <c r="AS101" s="487"/>
      <c r="AT101" s="101"/>
      <c r="AU101" s="101"/>
      <c r="AV101" s="101"/>
      <c r="AW101" s="101"/>
      <c r="AX101" s="487"/>
      <c r="AY101" s="101"/>
      <c r="AZ101" s="101"/>
      <c r="BA101" s="101"/>
      <c r="BB101" s="101"/>
      <c r="BC101" s="487"/>
      <c r="BD101" s="101"/>
      <c r="BE101" s="101"/>
      <c r="BF101" s="101"/>
      <c r="BG101" s="101"/>
      <c r="BH101" s="487"/>
      <c r="BI101" s="101"/>
      <c r="BJ101" s="101"/>
      <c r="BK101" s="101"/>
      <c r="BL101" s="101"/>
      <c r="BM101" s="487"/>
      <c r="BN101" s="101"/>
      <c r="BO101" s="101"/>
      <c r="BP101" s="101"/>
      <c r="BQ101" s="101"/>
      <c r="BR101" s="487"/>
      <c r="BS101" s="101"/>
      <c r="BT101" s="101"/>
      <c r="BU101" s="101"/>
      <c r="BV101" s="101"/>
      <c r="BW101" s="398"/>
    </row>
    <row r="102" spans="1:75" x14ac:dyDescent="0.3">
      <c r="A102" s="388"/>
      <c r="B102" s="388"/>
      <c r="D102" s="405" t="s">
        <v>490</v>
      </c>
      <c r="E102" s="404"/>
      <c r="F102" s="388"/>
      <c r="G102" s="410">
        <f>SUM(G103:G105)</f>
        <v>14417000</v>
      </c>
      <c r="H102" s="388"/>
      <c r="I102" s="388"/>
      <c r="J102" s="404"/>
      <c r="K102" s="388"/>
      <c r="L102" s="389">
        <f>SUM(L103:L105)</f>
        <v>777665</v>
      </c>
      <c r="M102" s="388"/>
      <c r="N102" s="388"/>
      <c r="O102" s="404"/>
      <c r="P102" s="388"/>
      <c r="Q102" s="389">
        <f>SUM(Q103:Q105)</f>
        <v>4931986</v>
      </c>
      <c r="R102" s="388"/>
      <c r="S102" s="388"/>
      <c r="T102" s="404"/>
      <c r="U102" s="388"/>
      <c r="V102" s="389">
        <f>SUM(V103:V105)</f>
        <v>8699700</v>
      </c>
      <c r="W102" s="388"/>
      <c r="X102" s="388"/>
      <c r="Y102" s="404"/>
      <c r="Z102" s="388"/>
      <c r="AA102" s="389">
        <f>SUM(AA103:AA105)</f>
        <v>0</v>
      </c>
      <c r="AB102" s="388"/>
      <c r="AC102" s="388"/>
      <c r="AD102" s="404"/>
      <c r="AE102" s="388"/>
      <c r="AF102" s="389">
        <f>SUM(AF103:AF105)</f>
        <v>0</v>
      </c>
      <c r="AG102" s="388"/>
      <c r="AH102" s="388"/>
      <c r="AI102" s="404"/>
      <c r="AJ102" s="388"/>
      <c r="AK102" s="389">
        <f>SUM(AK103:AK105)</f>
        <v>0</v>
      </c>
      <c r="AL102" s="388"/>
      <c r="AM102" s="388"/>
      <c r="AN102" s="404"/>
      <c r="AO102" s="388"/>
      <c r="AP102" s="389">
        <f>SUM(AP103:AP105)</f>
        <v>0</v>
      </c>
      <c r="AQ102" s="388"/>
      <c r="AR102" s="388"/>
      <c r="AS102" s="404"/>
      <c r="AT102" s="388"/>
      <c r="AU102" s="389">
        <f>SUM(AU103:AU105)</f>
        <v>6967</v>
      </c>
      <c r="AV102" s="388"/>
      <c r="AW102" s="388"/>
      <c r="AX102" s="404"/>
      <c r="AY102" s="388"/>
      <c r="AZ102" s="389">
        <f>SUM(AZ103:AZ105)</f>
        <v>0</v>
      </c>
      <c r="BA102" s="388"/>
      <c r="BB102" s="388"/>
      <c r="BC102" s="404"/>
      <c r="BD102" s="388"/>
      <c r="BE102" s="389">
        <f>SUM(BE103:BE105)</f>
        <v>0</v>
      </c>
      <c r="BF102" s="388"/>
      <c r="BG102" s="388"/>
      <c r="BH102" s="404"/>
      <c r="BI102" s="388"/>
      <c r="BJ102" s="389">
        <f>SUM(BJ103:BJ105)</f>
        <v>0</v>
      </c>
      <c r="BK102" s="388"/>
      <c r="BL102" s="388"/>
      <c r="BM102" s="404"/>
      <c r="BN102" s="388"/>
      <c r="BO102" s="389">
        <f>SUM(BO103:BO105)</f>
        <v>0</v>
      </c>
      <c r="BP102" s="388"/>
      <c r="BQ102" s="388"/>
      <c r="BR102" s="404"/>
      <c r="BS102" s="388"/>
      <c r="BT102" s="389">
        <f>SUM(BT103:BT105)</f>
        <v>14416318</v>
      </c>
      <c r="BU102" s="388"/>
      <c r="BV102" s="388"/>
      <c r="BW102" s="398"/>
    </row>
    <row r="103" spans="1:75" x14ac:dyDescent="0.3">
      <c r="A103" s="388"/>
      <c r="B103" s="388"/>
      <c r="D103" s="238" t="s">
        <v>491</v>
      </c>
      <c r="E103" s="404"/>
      <c r="F103" s="412"/>
      <c r="G103" s="417">
        <f>G107</f>
        <v>14417000</v>
      </c>
      <c r="H103" s="414"/>
      <c r="I103" s="388"/>
      <c r="J103" s="404"/>
      <c r="K103" s="412"/>
      <c r="L103" s="413">
        <f>L107</f>
        <v>777665</v>
      </c>
      <c r="M103" s="414"/>
      <c r="N103" s="388"/>
      <c r="O103" s="404"/>
      <c r="P103" s="412"/>
      <c r="Q103" s="413">
        <f>Q107</f>
        <v>4931986</v>
      </c>
      <c r="R103" s="414"/>
      <c r="S103" s="388"/>
      <c r="T103" s="404"/>
      <c r="U103" s="412"/>
      <c r="V103" s="413">
        <f>V107</f>
        <v>8699700</v>
      </c>
      <c r="W103" s="414"/>
      <c r="X103" s="388"/>
      <c r="Y103" s="404"/>
      <c r="Z103" s="412"/>
      <c r="AA103" s="413">
        <f>AA107</f>
        <v>0</v>
      </c>
      <c r="AB103" s="414"/>
      <c r="AC103" s="388"/>
      <c r="AD103" s="404"/>
      <c r="AE103" s="412"/>
      <c r="AF103" s="413">
        <f>AF107</f>
        <v>0</v>
      </c>
      <c r="AG103" s="414"/>
      <c r="AH103" s="388"/>
      <c r="AI103" s="404"/>
      <c r="AJ103" s="412"/>
      <c r="AK103" s="413">
        <f>AK107</f>
        <v>0</v>
      </c>
      <c r="AL103" s="414"/>
      <c r="AM103" s="388"/>
      <c r="AN103" s="404"/>
      <c r="AO103" s="412"/>
      <c r="AP103" s="413">
        <f>AP107</f>
        <v>0</v>
      </c>
      <c r="AQ103" s="414"/>
      <c r="AR103" s="388"/>
      <c r="AS103" s="404"/>
      <c r="AT103" s="412"/>
      <c r="AU103" s="417">
        <f>AU107</f>
        <v>6967</v>
      </c>
      <c r="AV103" s="414"/>
      <c r="AW103" s="388"/>
      <c r="AX103" s="404"/>
      <c r="AY103" s="412"/>
      <c r="AZ103" s="417">
        <f>AZ107</f>
        <v>0</v>
      </c>
      <c r="BA103" s="414"/>
      <c r="BB103" s="388"/>
      <c r="BC103" s="404"/>
      <c r="BD103" s="412"/>
      <c r="BE103" s="417">
        <f>BE107</f>
        <v>0</v>
      </c>
      <c r="BF103" s="414"/>
      <c r="BG103" s="388"/>
      <c r="BH103" s="404"/>
      <c r="BI103" s="412"/>
      <c r="BJ103" s="417">
        <f>BJ107</f>
        <v>0</v>
      </c>
      <c r="BK103" s="414"/>
      <c r="BL103" s="388"/>
      <c r="BM103" s="404"/>
      <c r="BN103" s="412"/>
      <c r="BO103" s="417">
        <f>BO107</f>
        <v>0</v>
      </c>
      <c r="BP103" s="414"/>
      <c r="BQ103" s="388"/>
      <c r="BR103" s="404"/>
      <c r="BS103" s="412"/>
      <c r="BT103" s="413">
        <f>BT107</f>
        <v>14416318</v>
      </c>
      <c r="BU103" s="414"/>
      <c r="BV103" s="388"/>
      <c r="BW103" s="398"/>
    </row>
    <row r="104" spans="1:75" x14ac:dyDescent="0.3">
      <c r="A104" s="388"/>
      <c r="B104" s="388"/>
      <c r="D104" s="238" t="s">
        <v>492</v>
      </c>
      <c r="E104" s="404"/>
      <c r="F104" s="404"/>
      <c r="G104" s="425">
        <f>G155</f>
        <v>0</v>
      </c>
      <c r="H104" s="419"/>
      <c r="I104" s="388"/>
      <c r="J104" s="404"/>
      <c r="K104" s="404"/>
      <c r="L104" s="388">
        <f>L155</f>
        <v>0</v>
      </c>
      <c r="M104" s="419"/>
      <c r="N104" s="388"/>
      <c r="O104" s="404"/>
      <c r="P104" s="404"/>
      <c r="Q104" s="388">
        <f>Q155</f>
        <v>0</v>
      </c>
      <c r="R104" s="419"/>
      <c r="S104" s="388"/>
      <c r="T104" s="404"/>
      <c r="U104" s="404"/>
      <c r="V104" s="388">
        <f>V155</f>
        <v>0</v>
      </c>
      <c r="W104" s="419"/>
      <c r="X104" s="388"/>
      <c r="Y104" s="404"/>
      <c r="Z104" s="404"/>
      <c r="AA104" s="388">
        <f>AA155</f>
        <v>0</v>
      </c>
      <c r="AB104" s="419"/>
      <c r="AC104" s="388"/>
      <c r="AD104" s="404"/>
      <c r="AE104" s="404"/>
      <c r="AF104" s="388">
        <f>AF155</f>
        <v>0</v>
      </c>
      <c r="AG104" s="419"/>
      <c r="AH104" s="388"/>
      <c r="AI104" s="404"/>
      <c r="AJ104" s="404"/>
      <c r="AK104" s="388">
        <f>AK155</f>
        <v>0</v>
      </c>
      <c r="AL104" s="419"/>
      <c r="AM104" s="388"/>
      <c r="AN104" s="404"/>
      <c r="AO104" s="404"/>
      <c r="AP104" s="388">
        <f>AP155</f>
        <v>0</v>
      </c>
      <c r="AQ104" s="419"/>
      <c r="AR104" s="388"/>
      <c r="AS104" s="404"/>
      <c r="AT104" s="404"/>
      <c r="AU104" s="425">
        <f>AU155</f>
        <v>0</v>
      </c>
      <c r="AV104" s="419"/>
      <c r="AW104" s="388"/>
      <c r="AX104" s="404"/>
      <c r="AY104" s="404"/>
      <c r="AZ104" s="425">
        <f>AZ155</f>
        <v>0</v>
      </c>
      <c r="BA104" s="419"/>
      <c r="BB104" s="388"/>
      <c r="BC104" s="404"/>
      <c r="BD104" s="404"/>
      <c r="BE104" s="425">
        <f>BE155</f>
        <v>0</v>
      </c>
      <c r="BF104" s="419"/>
      <c r="BG104" s="388"/>
      <c r="BH104" s="404"/>
      <c r="BI104" s="404"/>
      <c r="BJ104" s="425">
        <f>BJ155</f>
        <v>0</v>
      </c>
      <c r="BK104" s="419"/>
      <c r="BL104" s="388"/>
      <c r="BM104" s="404"/>
      <c r="BN104" s="404"/>
      <c r="BO104" s="425">
        <f>BO155</f>
        <v>0</v>
      </c>
      <c r="BP104" s="419"/>
      <c r="BQ104" s="388"/>
      <c r="BR104" s="404"/>
      <c r="BS104" s="404"/>
      <c r="BT104" s="388">
        <f>BT155</f>
        <v>0</v>
      </c>
      <c r="BU104" s="419"/>
      <c r="BV104" s="388"/>
      <c r="BW104" s="398"/>
    </row>
    <row r="105" spans="1:75" x14ac:dyDescent="0.3">
      <c r="A105" s="388"/>
      <c r="B105" s="388"/>
      <c r="D105" s="238" t="s">
        <v>493</v>
      </c>
      <c r="E105" s="404"/>
      <c r="F105" s="427"/>
      <c r="G105" s="428">
        <f>G167</f>
        <v>0</v>
      </c>
      <c r="H105" s="429"/>
      <c r="I105" s="388"/>
      <c r="J105" s="404"/>
      <c r="K105" s="427"/>
      <c r="L105" s="430">
        <f>L167</f>
        <v>0</v>
      </c>
      <c r="M105" s="429"/>
      <c r="N105" s="388"/>
      <c r="O105" s="404"/>
      <c r="P105" s="427"/>
      <c r="Q105" s="430">
        <f>Q167</f>
        <v>0</v>
      </c>
      <c r="R105" s="429"/>
      <c r="S105" s="388"/>
      <c r="T105" s="404"/>
      <c r="U105" s="427"/>
      <c r="V105" s="430">
        <f>V167</f>
        <v>0</v>
      </c>
      <c r="W105" s="429"/>
      <c r="X105" s="388"/>
      <c r="Y105" s="404"/>
      <c r="Z105" s="427"/>
      <c r="AA105" s="430">
        <f>AA167</f>
        <v>0</v>
      </c>
      <c r="AB105" s="429"/>
      <c r="AC105" s="388"/>
      <c r="AD105" s="404"/>
      <c r="AE105" s="427"/>
      <c r="AF105" s="430">
        <f>AF167</f>
        <v>0</v>
      </c>
      <c r="AG105" s="429"/>
      <c r="AH105" s="388"/>
      <c r="AI105" s="404"/>
      <c r="AJ105" s="427"/>
      <c r="AK105" s="430">
        <f>AK167</f>
        <v>0</v>
      </c>
      <c r="AL105" s="429"/>
      <c r="AM105" s="388"/>
      <c r="AN105" s="404"/>
      <c r="AO105" s="427"/>
      <c r="AP105" s="430">
        <f>AP167</f>
        <v>0</v>
      </c>
      <c r="AQ105" s="429"/>
      <c r="AR105" s="388"/>
      <c r="AS105" s="404"/>
      <c r="AT105" s="427"/>
      <c r="AU105" s="428">
        <f>AU167</f>
        <v>0</v>
      </c>
      <c r="AV105" s="429"/>
      <c r="AW105" s="388"/>
      <c r="AX105" s="404"/>
      <c r="AY105" s="427"/>
      <c r="AZ105" s="428">
        <f>AZ167</f>
        <v>0</v>
      </c>
      <c r="BA105" s="429"/>
      <c r="BB105" s="388"/>
      <c r="BC105" s="404"/>
      <c r="BD105" s="427"/>
      <c r="BE105" s="428">
        <f>BE167</f>
        <v>0</v>
      </c>
      <c r="BF105" s="429"/>
      <c r="BG105" s="388"/>
      <c r="BH105" s="404"/>
      <c r="BI105" s="427"/>
      <c r="BJ105" s="428">
        <f>BJ167</f>
        <v>0</v>
      </c>
      <c r="BK105" s="429"/>
      <c r="BL105" s="388"/>
      <c r="BM105" s="404"/>
      <c r="BN105" s="427"/>
      <c r="BO105" s="428">
        <f>BO167</f>
        <v>0</v>
      </c>
      <c r="BP105" s="429"/>
      <c r="BQ105" s="388"/>
      <c r="BR105" s="404"/>
      <c r="BS105" s="427"/>
      <c r="BT105" s="430">
        <f>BT167</f>
        <v>0</v>
      </c>
      <c r="BU105" s="429"/>
      <c r="BV105" s="388"/>
      <c r="BW105" s="398"/>
    </row>
    <row r="106" spans="1:75" x14ac:dyDescent="0.3">
      <c r="A106" s="388"/>
      <c r="B106" s="388"/>
      <c r="D106" s="398"/>
      <c r="E106" s="404"/>
      <c r="F106" s="388"/>
      <c r="G106" s="425"/>
      <c r="H106" s="388"/>
      <c r="I106" s="388"/>
      <c r="J106" s="404"/>
      <c r="K106" s="388"/>
      <c r="L106" s="388"/>
      <c r="M106" s="388"/>
      <c r="N106" s="388"/>
      <c r="O106" s="404"/>
      <c r="P106" s="388"/>
      <c r="Q106" s="388"/>
      <c r="R106" s="388"/>
      <c r="S106" s="388"/>
      <c r="T106" s="404"/>
      <c r="U106" s="388"/>
      <c r="V106" s="388"/>
      <c r="W106" s="388"/>
      <c r="X106" s="388"/>
      <c r="Y106" s="404"/>
      <c r="Z106" s="388"/>
      <c r="AA106" s="388"/>
      <c r="AB106" s="388"/>
      <c r="AC106" s="388"/>
      <c r="AD106" s="404"/>
      <c r="AE106" s="388"/>
      <c r="AF106" s="388"/>
      <c r="AG106" s="388"/>
      <c r="AH106" s="388"/>
      <c r="AI106" s="404"/>
      <c r="AJ106" s="388"/>
      <c r="AK106" s="388"/>
      <c r="AL106" s="388"/>
      <c r="AM106" s="388"/>
      <c r="AN106" s="404"/>
      <c r="AO106" s="388"/>
      <c r="AP106" s="388"/>
      <c r="AQ106" s="388"/>
      <c r="AR106" s="388"/>
      <c r="AS106" s="404"/>
      <c r="AT106" s="388"/>
      <c r="AU106" s="388"/>
      <c r="AV106" s="388"/>
      <c r="AW106" s="388"/>
      <c r="AX106" s="404"/>
      <c r="AY106" s="388"/>
      <c r="AZ106" s="388"/>
      <c r="BA106" s="388"/>
      <c r="BB106" s="388"/>
      <c r="BC106" s="404"/>
      <c r="BD106" s="388"/>
      <c r="BE106" s="388"/>
      <c r="BF106" s="388"/>
      <c r="BG106" s="388"/>
      <c r="BH106" s="404"/>
      <c r="BI106" s="388"/>
      <c r="BJ106" s="388"/>
      <c r="BK106" s="388"/>
      <c r="BL106" s="388"/>
      <c r="BM106" s="404"/>
      <c r="BN106" s="388"/>
      <c r="BO106" s="388"/>
      <c r="BP106" s="388"/>
      <c r="BQ106" s="388"/>
      <c r="BR106" s="404"/>
      <c r="BS106" s="388"/>
      <c r="BT106" s="388"/>
      <c r="BU106" s="388"/>
      <c r="BV106" s="388"/>
      <c r="BW106" s="398"/>
    </row>
    <row r="107" spans="1:75" x14ac:dyDescent="0.3">
      <c r="A107" s="388"/>
      <c r="B107" s="388"/>
      <c r="C107" s="388"/>
      <c r="D107" s="398" t="s">
        <v>494</v>
      </c>
      <c r="E107" s="404"/>
      <c r="F107" s="388"/>
      <c r="G107" s="101">
        <f>SUM(G108:G109)</f>
        <v>14417000</v>
      </c>
      <c r="H107" s="101"/>
      <c r="I107" s="101"/>
      <c r="J107" s="487"/>
      <c r="K107" s="101"/>
      <c r="L107" s="101">
        <f>SUM(L108:L109)</f>
        <v>777665</v>
      </c>
      <c r="M107" s="101"/>
      <c r="N107" s="101"/>
      <c r="O107" s="487"/>
      <c r="P107" s="101"/>
      <c r="Q107" s="101">
        <f>SUM(Q108:Q109)</f>
        <v>4931986</v>
      </c>
      <c r="R107" s="101"/>
      <c r="S107" s="101"/>
      <c r="T107" s="487"/>
      <c r="U107" s="101"/>
      <c r="V107" s="101">
        <f>SUM(V108:V109)</f>
        <v>8699700</v>
      </c>
      <c r="W107" s="101"/>
      <c r="X107" s="101"/>
      <c r="Y107" s="487"/>
      <c r="Z107" s="101"/>
      <c r="AA107" s="101">
        <f>SUM(AA108:AA109)</f>
        <v>0</v>
      </c>
      <c r="AB107" s="101"/>
      <c r="AC107" s="101"/>
      <c r="AD107" s="487"/>
      <c r="AE107" s="101"/>
      <c r="AF107" s="101">
        <f>SUM(AF108:AF109)</f>
        <v>0</v>
      </c>
      <c r="AG107" s="101"/>
      <c r="AH107" s="101"/>
      <c r="AI107" s="487"/>
      <c r="AJ107" s="101"/>
      <c r="AK107" s="101">
        <f>SUM(AK108:AK109)</f>
        <v>0</v>
      </c>
      <c r="AL107" s="101"/>
      <c r="AM107" s="101"/>
      <c r="AN107" s="487"/>
      <c r="AO107" s="101"/>
      <c r="AP107" s="101">
        <f>SUM(AP108:AP109)</f>
        <v>0</v>
      </c>
      <c r="AQ107" s="101"/>
      <c r="AR107" s="101"/>
      <c r="AS107" s="487"/>
      <c r="AT107" s="101"/>
      <c r="AU107" s="101">
        <f>SUM(AU108:AU109)</f>
        <v>6967</v>
      </c>
      <c r="AV107" s="101"/>
      <c r="AW107" s="101"/>
      <c r="AX107" s="487"/>
      <c r="AY107" s="101"/>
      <c r="AZ107" s="101">
        <f>SUM(AZ108:AZ109)</f>
        <v>0</v>
      </c>
      <c r="BA107" s="101"/>
      <c r="BB107" s="101"/>
      <c r="BC107" s="487"/>
      <c r="BD107" s="101"/>
      <c r="BE107" s="101">
        <f>SUM(BE108:BE109)</f>
        <v>0</v>
      </c>
      <c r="BF107" s="101"/>
      <c r="BG107" s="101"/>
      <c r="BH107" s="487"/>
      <c r="BI107" s="101"/>
      <c r="BJ107" s="101">
        <f>SUM(BJ108:BJ109)</f>
        <v>0</v>
      </c>
      <c r="BK107" s="101"/>
      <c r="BL107" s="101"/>
      <c r="BM107" s="487"/>
      <c r="BN107" s="101"/>
      <c r="BO107" s="101">
        <f>SUM(BO108:BO109)</f>
        <v>0</v>
      </c>
      <c r="BP107" s="101"/>
      <c r="BQ107" s="101"/>
      <c r="BR107" s="487"/>
      <c r="BS107" s="101"/>
      <c r="BT107" s="101">
        <f>SUM(BT108:BT109)</f>
        <v>14416318</v>
      </c>
      <c r="BU107" s="101"/>
      <c r="BV107" s="101"/>
      <c r="BW107" s="398"/>
    </row>
    <row r="108" spans="1:75" x14ac:dyDescent="0.3">
      <c r="A108" s="388"/>
      <c r="B108" s="388"/>
      <c r="C108" s="388"/>
      <c r="D108" s="398" t="s">
        <v>495</v>
      </c>
      <c r="E108" s="404"/>
      <c r="F108" s="412"/>
      <c r="G108" s="485">
        <f>+G112+G120+G124+G128+G132+G136+G116+G140+G148+G152+G144</f>
        <v>7961000</v>
      </c>
      <c r="H108" s="486"/>
      <c r="I108" s="101"/>
      <c r="J108" s="487"/>
      <c r="K108" s="488"/>
      <c r="L108" s="485">
        <f>+L112+L120+L124+L128+L132+L136+L116+L140+L148+L152+L144</f>
        <v>391647</v>
      </c>
      <c r="M108" s="486"/>
      <c r="N108" s="101"/>
      <c r="O108" s="487"/>
      <c r="P108" s="488"/>
      <c r="Q108" s="485">
        <f>+Q112+Q120+Q124+Q128+Q132+Q136+Q116+Q140+Q148+Q152+Q144</f>
        <v>1962723</v>
      </c>
      <c r="R108" s="486"/>
      <c r="S108" s="101"/>
      <c r="T108" s="487"/>
      <c r="U108" s="488"/>
      <c r="V108" s="485">
        <f>+V112+V120+V124+V128+V132+V136+V116+V140+V148+V152+V144</f>
        <v>5604275</v>
      </c>
      <c r="W108" s="486"/>
      <c r="X108" s="101"/>
      <c r="Y108" s="487"/>
      <c r="Z108" s="488"/>
      <c r="AA108" s="485">
        <f>+AA112+AA120+AA124+AA128+AA132+AA136+AA116+AA140+AA148+AA152+AA144</f>
        <v>0</v>
      </c>
      <c r="AB108" s="486"/>
      <c r="AC108" s="101"/>
      <c r="AD108" s="487"/>
      <c r="AE108" s="488"/>
      <c r="AF108" s="485">
        <f>+AF112+AF120+AF124+AF128+AF132+AF136+AF116+AF140+AF148+AF152+AF144</f>
        <v>0</v>
      </c>
      <c r="AG108" s="486"/>
      <c r="AH108" s="101"/>
      <c r="AI108" s="487"/>
      <c r="AJ108" s="488"/>
      <c r="AK108" s="485">
        <f>+AK112+AK120+AK124+AK128+AK132+AK136+AK116+AK140+AK148+AK152+AK144</f>
        <v>0</v>
      </c>
      <c r="AL108" s="486"/>
      <c r="AM108" s="101"/>
      <c r="AN108" s="487"/>
      <c r="AO108" s="488"/>
      <c r="AP108" s="485">
        <f>+AP112+AP120+AP124+AP128+AP132+AP136+AP116+AP140+AP148+AP152+AP144</f>
        <v>0</v>
      </c>
      <c r="AQ108" s="486"/>
      <c r="AR108" s="101"/>
      <c r="AS108" s="487"/>
      <c r="AT108" s="488"/>
      <c r="AU108" s="485">
        <f>+AU112+AU120+AU124+AU128+AU132+AU136+AU116+AU140+AU148+AU152+AU144</f>
        <v>1940</v>
      </c>
      <c r="AV108" s="486"/>
      <c r="AW108" s="101"/>
      <c r="AX108" s="487"/>
      <c r="AY108" s="488"/>
      <c r="AZ108" s="485">
        <f>+AZ112+AZ120+AZ124+AZ128+AZ132+AZ136+AZ116+AZ140+AZ148+AZ152+AZ144</f>
        <v>0</v>
      </c>
      <c r="BA108" s="486"/>
      <c r="BB108" s="101"/>
      <c r="BC108" s="487"/>
      <c r="BD108" s="488"/>
      <c r="BE108" s="485">
        <f>+BE112+BE120+BE124+BE128+BE132+BE136+BE116+BE140+BE148+BE152+BE144</f>
        <v>0</v>
      </c>
      <c r="BF108" s="486"/>
      <c r="BG108" s="101"/>
      <c r="BH108" s="487"/>
      <c r="BI108" s="488"/>
      <c r="BJ108" s="485">
        <f>+BJ112+BJ120+BJ124+BJ128+BJ132+BJ136+BJ116+BJ140+BJ148+BJ152+BJ144</f>
        <v>0</v>
      </c>
      <c r="BK108" s="486"/>
      <c r="BL108" s="101"/>
      <c r="BM108" s="487"/>
      <c r="BN108" s="488"/>
      <c r="BO108" s="485">
        <v>0</v>
      </c>
      <c r="BP108" s="486"/>
      <c r="BQ108" s="101"/>
      <c r="BR108" s="487"/>
      <c r="BS108" s="488"/>
      <c r="BT108" s="485">
        <f>+BT112+BT120+BT124+BT128+BT132+BT136+BT116+BT140+BT148+BT152+BT144</f>
        <v>7960585</v>
      </c>
      <c r="BU108" s="486"/>
      <c r="BV108" s="101"/>
      <c r="BW108" s="398"/>
    </row>
    <row r="109" spans="1:75" x14ac:dyDescent="0.3">
      <c r="A109" s="388"/>
      <c r="B109" s="388"/>
      <c r="C109" s="388"/>
      <c r="D109" s="398" t="s">
        <v>496</v>
      </c>
      <c r="E109" s="404"/>
      <c r="F109" s="427"/>
      <c r="G109" s="496">
        <f>+G113+G121+G125+G129+G133+G137+G117+G141+G149+G153+G145</f>
        <v>6456000</v>
      </c>
      <c r="H109" s="90"/>
      <c r="I109" s="101"/>
      <c r="J109" s="487"/>
      <c r="K109" s="497"/>
      <c r="L109" s="496">
        <f>+L113+L121+L125+L129+L133+L137+L117+L141+L149+L153+L145</f>
        <v>386018</v>
      </c>
      <c r="M109" s="90"/>
      <c r="N109" s="101"/>
      <c r="O109" s="487"/>
      <c r="P109" s="497"/>
      <c r="Q109" s="496">
        <f>+Q113+Q121+Q125+Q129+Q133+Q137+Q117+Q141+Q149+Q153+Q145</f>
        <v>2969263</v>
      </c>
      <c r="R109" s="90"/>
      <c r="S109" s="101"/>
      <c r="T109" s="487"/>
      <c r="U109" s="497"/>
      <c r="V109" s="496">
        <f>+V113+V121+V125+V129+V133+V137+V117+V141+V149+V153+V145</f>
        <v>3095425</v>
      </c>
      <c r="W109" s="90"/>
      <c r="X109" s="101"/>
      <c r="Y109" s="487"/>
      <c r="Z109" s="497"/>
      <c r="AA109" s="496">
        <f>+AA113+AA121+AA125+AA129+AA133+AA137+AA117+AA141+AA149+AA153+AA145</f>
        <v>0</v>
      </c>
      <c r="AB109" s="90"/>
      <c r="AC109" s="101"/>
      <c r="AD109" s="487"/>
      <c r="AE109" s="497"/>
      <c r="AF109" s="496">
        <f>+AF113+AF121+AF125+AF129+AF133+AF137+AF117+AF141+AF149+AF153+AF145</f>
        <v>0</v>
      </c>
      <c r="AG109" s="90"/>
      <c r="AH109" s="101"/>
      <c r="AI109" s="487"/>
      <c r="AJ109" s="497"/>
      <c r="AK109" s="496">
        <f>+AK113+AK121+AK125+AK129+AK133+AK137+AK117+AK141+AK149+AK153+AK145</f>
        <v>0</v>
      </c>
      <c r="AL109" s="90"/>
      <c r="AM109" s="101"/>
      <c r="AN109" s="487"/>
      <c r="AO109" s="497"/>
      <c r="AP109" s="496">
        <f>+AP113+AP121+AP125+AP129+AP133+AP137+AP117+AP141+AP149+AP153+AP145</f>
        <v>0</v>
      </c>
      <c r="AQ109" s="90"/>
      <c r="AR109" s="101"/>
      <c r="AS109" s="487"/>
      <c r="AT109" s="497"/>
      <c r="AU109" s="496">
        <f>+AU113+AU121+AU125+AU129+AU133+AU137+AU117+AU141+AU149+AU153+AU145</f>
        <v>5027</v>
      </c>
      <c r="AV109" s="90"/>
      <c r="AW109" s="101"/>
      <c r="AX109" s="487"/>
      <c r="AY109" s="497"/>
      <c r="AZ109" s="496">
        <f>+AZ113+AZ121+AZ125+AZ129+AZ133+AZ137+AZ117+AZ141+AZ149+AZ153+AZ145</f>
        <v>0</v>
      </c>
      <c r="BA109" s="90"/>
      <c r="BB109" s="101"/>
      <c r="BC109" s="487"/>
      <c r="BD109" s="497"/>
      <c r="BE109" s="496">
        <f>+BE113+BE121+BE125+BE129+BE133+BE137+BE117+BE141+BE149+BE153+BE145</f>
        <v>0</v>
      </c>
      <c r="BF109" s="90"/>
      <c r="BG109" s="101"/>
      <c r="BH109" s="487"/>
      <c r="BI109" s="497"/>
      <c r="BJ109" s="496">
        <f>+BJ113+BJ121+BJ125+BJ129+BJ133+BJ137+BJ117+BJ141+BJ149+BJ153+BJ145</f>
        <v>0</v>
      </c>
      <c r="BK109" s="90"/>
      <c r="BL109" s="101"/>
      <c r="BM109" s="487"/>
      <c r="BN109" s="497"/>
      <c r="BO109" s="496">
        <v>0</v>
      </c>
      <c r="BP109" s="90"/>
      <c r="BQ109" s="101"/>
      <c r="BR109" s="487"/>
      <c r="BS109" s="497"/>
      <c r="BT109" s="496">
        <f>+BT113+BT121+BT125+BT129+BT133+BT137+BT117+BT141+BT149+BT153+BT145</f>
        <v>6455733</v>
      </c>
      <c r="BU109" s="90"/>
      <c r="BV109" s="101"/>
      <c r="BW109" s="398"/>
    </row>
    <row r="110" spans="1:75" x14ac:dyDescent="0.3">
      <c r="A110" s="388"/>
      <c r="B110" s="388"/>
      <c r="C110" s="388"/>
      <c r="D110" s="398"/>
      <c r="E110" s="404"/>
      <c r="F110" s="388"/>
      <c r="G110" s="101"/>
      <c r="H110" s="101"/>
      <c r="I110" s="101"/>
      <c r="J110" s="487"/>
      <c r="K110" s="101"/>
      <c r="L110" s="101"/>
      <c r="M110" s="101"/>
      <c r="N110" s="101"/>
      <c r="O110" s="487"/>
      <c r="P110" s="101"/>
      <c r="Q110" s="101"/>
      <c r="R110" s="101"/>
      <c r="S110" s="101"/>
      <c r="T110" s="487"/>
      <c r="U110" s="101"/>
      <c r="V110" s="101"/>
      <c r="W110" s="101"/>
      <c r="X110" s="101"/>
      <c r="Y110" s="487"/>
      <c r="Z110" s="101"/>
      <c r="AA110" s="101"/>
      <c r="AB110" s="101"/>
      <c r="AC110" s="101"/>
      <c r="AD110" s="487"/>
      <c r="AE110" s="101"/>
      <c r="AF110" s="101"/>
      <c r="AG110" s="101"/>
      <c r="AH110" s="101"/>
      <c r="AI110" s="487"/>
      <c r="AJ110" s="101"/>
      <c r="AK110" s="101"/>
      <c r="AL110" s="101"/>
      <c r="AM110" s="101"/>
      <c r="AN110" s="487"/>
      <c r="AO110" s="101"/>
      <c r="AP110" s="101"/>
      <c r="AQ110" s="101"/>
      <c r="AR110" s="101"/>
      <c r="AS110" s="487"/>
      <c r="AT110" s="101"/>
      <c r="AU110" s="101"/>
      <c r="AV110" s="101"/>
      <c r="AW110" s="101"/>
      <c r="AX110" s="487"/>
      <c r="AY110" s="101"/>
      <c r="AZ110" s="101"/>
      <c r="BA110" s="101"/>
      <c r="BB110" s="101"/>
      <c r="BC110" s="487"/>
      <c r="BD110" s="101"/>
      <c r="BE110" s="101"/>
      <c r="BF110" s="101"/>
      <c r="BG110" s="101"/>
      <c r="BH110" s="487"/>
      <c r="BI110" s="101"/>
      <c r="BJ110" s="101"/>
      <c r="BK110" s="101"/>
      <c r="BL110" s="101"/>
      <c r="BM110" s="487"/>
      <c r="BN110" s="101"/>
      <c r="BO110" s="101"/>
      <c r="BP110" s="101"/>
      <c r="BQ110" s="101"/>
      <c r="BR110" s="487"/>
      <c r="BS110" s="101"/>
      <c r="BT110" s="101"/>
      <c r="BU110" s="101"/>
      <c r="BV110" s="101"/>
      <c r="BW110" s="398"/>
    </row>
    <row r="111" spans="1:75" x14ac:dyDescent="0.3">
      <c r="A111" s="388"/>
      <c r="B111" s="388"/>
      <c r="C111" s="388"/>
      <c r="D111" s="398" t="s">
        <v>497</v>
      </c>
      <c r="E111" s="404"/>
      <c r="F111" s="388"/>
      <c r="G111" s="101">
        <f>SUM(G112:G113)</f>
        <v>8000</v>
      </c>
      <c r="H111" s="101"/>
      <c r="I111" s="101"/>
      <c r="J111" s="487"/>
      <c r="K111" s="101"/>
      <c r="L111" s="101">
        <f>SUM(L112:L113)</f>
        <v>0</v>
      </c>
      <c r="M111" s="101"/>
      <c r="N111" s="101"/>
      <c r="O111" s="487"/>
      <c r="P111" s="101"/>
      <c r="Q111" s="101">
        <f>SUM(Q112:Q113)</f>
        <v>0</v>
      </c>
      <c r="R111" s="101"/>
      <c r="S111" s="101"/>
      <c r="T111" s="487"/>
      <c r="U111" s="101"/>
      <c r="V111" s="101">
        <f>SUM(V112:V113)</f>
        <v>0</v>
      </c>
      <c r="W111" s="101"/>
      <c r="X111" s="101"/>
      <c r="Y111" s="487"/>
      <c r="Z111" s="101"/>
      <c r="AA111" s="101">
        <f>SUM(AA112:AA113)</f>
        <v>0</v>
      </c>
      <c r="AB111" s="101"/>
      <c r="AC111" s="101"/>
      <c r="AD111" s="487"/>
      <c r="AE111" s="101"/>
      <c r="AF111" s="101">
        <f>SUM(AF112:AF113)</f>
        <v>0</v>
      </c>
      <c r="AG111" s="101"/>
      <c r="AH111" s="101"/>
      <c r="AI111" s="487"/>
      <c r="AJ111" s="101"/>
      <c r="AK111" s="101">
        <f>SUM(AK112:AK113)</f>
        <v>0</v>
      </c>
      <c r="AL111" s="101"/>
      <c r="AM111" s="101"/>
      <c r="AN111" s="487"/>
      <c r="AO111" s="101"/>
      <c r="AP111" s="101">
        <f>SUM(AP112:AP113)</f>
        <v>0</v>
      </c>
      <c r="AQ111" s="101"/>
      <c r="AR111" s="101"/>
      <c r="AS111" s="487"/>
      <c r="AT111" s="101"/>
      <c r="AU111" s="101">
        <f>SUM(AU112:AU113)</f>
        <v>0</v>
      </c>
      <c r="AV111" s="101"/>
      <c r="AW111" s="101"/>
      <c r="AX111" s="487"/>
      <c r="AY111" s="101"/>
      <c r="AZ111" s="101">
        <f>SUM(AZ112:AZ113)</f>
        <v>0</v>
      </c>
      <c r="BA111" s="101"/>
      <c r="BB111" s="101"/>
      <c r="BC111" s="487"/>
      <c r="BD111" s="101"/>
      <c r="BE111" s="101">
        <f>SUM(BE112:BE113)</f>
        <v>0</v>
      </c>
      <c r="BF111" s="101"/>
      <c r="BG111" s="101"/>
      <c r="BH111" s="487"/>
      <c r="BI111" s="101"/>
      <c r="BJ111" s="101">
        <f>SUM(BJ112:BJ113)</f>
        <v>0</v>
      </c>
      <c r="BK111" s="101"/>
      <c r="BL111" s="101"/>
      <c r="BM111" s="487"/>
      <c r="BN111" s="101"/>
      <c r="BO111" s="101">
        <f>SUM(BO112:BO113)</f>
        <v>0</v>
      </c>
      <c r="BP111" s="101"/>
      <c r="BQ111" s="101"/>
      <c r="BR111" s="487"/>
      <c r="BS111" s="101"/>
      <c r="BT111" s="101">
        <f>SUM(BT112:BT113)</f>
        <v>0</v>
      </c>
      <c r="BU111" s="101"/>
      <c r="BV111" s="101"/>
      <c r="BW111" s="398"/>
    </row>
    <row r="112" spans="1:75" x14ac:dyDescent="0.3">
      <c r="A112" s="388"/>
      <c r="B112" s="388"/>
      <c r="C112" s="388"/>
      <c r="D112" s="398" t="s">
        <v>495</v>
      </c>
      <c r="E112" s="404"/>
      <c r="F112" s="412"/>
      <c r="G112" s="485">
        <v>2000</v>
      </c>
      <c r="H112" s="486"/>
      <c r="I112" s="101"/>
      <c r="J112" s="487"/>
      <c r="K112" s="488"/>
      <c r="L112" s="485">
        <v>0</v>
      </c>
      <c r="M112" s="486"/>
      <c r="N112" s="101"/>
      <c r="O112" s="487"/>
      <c r="P112" s="488"/>
      <c r="Q112" s="485">
        <v>0</v>
      </c>
      <c r="R112" s="486"/>
      <c r="S112" s="101"/>
      <c r="T112" s="487"/>
      <c r="U112" s="488"/>
      <c r="V112" s="485">
        <v>0</v>
      </c>
      <c r="W112" s="486"/>
      <c r="X112" s="101"/>
      <c r="Y112" s="487"/>
      <c r="Z112" s="488"/>
      <c r="AA112" s="485">
        <v>0</v>
      </c>
      <c r="AB112" s="486"/>
      <c r="AC112" s="101"/>
      <c r="AD112" s="487"/>
      <c r="AE112" s="488"/>
      <c r="AF112" s="485">
        <v>0</v>
      </c>
      <c r="AG112" s="486"/>
      <c r="AH112" s="101"/>
      <c r="AI112" s="487"/>
      <c r="AJ112" s="488"/>
      <c r="AK112" s="485">
        <v>0</v>
      </c>
      <c r="AL112" s="486"/>
      <c r="AM112" s="101"/>
      <c r="AN112" s="487"/>
      <c r="AO112" s="488"/>
      <c r="AP112" s="485">
        <v>0</v>
      </c>
      <c r="AQ112" s="486"/>
      <c r="AR112" s="101"/>
      <c r="AS112" s="487"/>
      <c r="AT112" s="488"/>
      <c r="AU112" s="485">
        <v>0</v>
      </c>
      <c r="AV112" s="486"/>
      <c r="AW112" s="101"/>
      <c r="AX112" s="487"/>
      <c r="AY112" s="488"/>
      <c r="AZ112" s="485">
        <v>0</v>
      </c>
      <c r="BA112" s="486"/>
      <c r="BB112" s="101"/>
      <c r="BC112" s="487"/>
      <c r="BD112" s="488"/>
      <c r="BE112" s="485">
        <v>0</v>
      </c>
      <c r="BF112" s="486"/>
      <c r="BG112" s="101"/>
      <c r="BH112" s="487"/>
      <c r="BI112" s="488"/>
      <c r="BJ112" s="485">
        <v>0</v>
      </c>
      <c r="BK112" s="486"/>
      <c r="BL112" s="101"/>
      <c r="BM112" s="487"/>
      <c r="BN112" s="488"/>
      <c r="BO112" s="485">
        <v>0</v>
      </c>
      <c r="BP112" s="486"/>
      <c r="BQ112" s="101"/>
      <c r="BR112" s="487"/>
      <c r="BS112" s="488"/>
      <c r="BT112" s="485">
        <f>SUM(L112:BO112)</f>
        <v>0</v>
      </c>
      <c r="BU112" s="486"/>
      <c r="BV112" s="101"/>
      <c r="BW112" s="398"/>
    </row>
    <row r="113" spans="1:75" x14ac:dyDescent="0.3">
      <c r="A113" s="388"/>
      <c r="B113" s="388"/>
      <c r="C113" s="388"/>
      <c r="D113" s="398" t="s">
        <v>496</v>
      </c>
      <c r="E113" s="404"/>
      <c r="F113" s="427"/>
      <c r="G113" s="496">
        <v>6000</v>
      </c>
      <c r="H113" s="90"/>
      <c r="I113" s="101"/>
      <c r="J113" s="487"/>
      <c r="K113" s="497"/>
      <c r="L113" s="496">
        <v>0</v>
      </c>
      <c r="M113" s="90"/>
      <c r="N113" s="101"/>
      <c r="O113" s="487"/>
      <c r="P113" s="497"/>
      <c r="Q113" s="496">
        <v>0</v>
      </c>
      <c r="R113" s="90"/>
      <c r="S113" s="101"/>
      <c r="T113" s="487"/>
      <c r="U113" s="497"/>
      <c r="V113" s="496">
        <v>0</v>
      </c>
      <c r="W113" s="90"/>
      <c r="X113" s="101"/>
      <c r="Y113" s="487"/>
      <c r="Z113" s="497"/>
      <c r="AA113" s="496">
        <v>0</v>
      </c>
      <c r="AB113" s="90"/>
      <c r="AC113" s="101"/>
      <c r="AD113" s="487"/>
      <c r="AE113" s="497"/>
      <c r="AF113" s="496">
        <v>0</v>
      </c>
      <c r="AG113" s="90"/>
      <c r="AH113" s="101"/>
      <c r="AI113" s="487"/>
      <c r="AJ113" s="497"/>
      <c r="AK113" s="496">
        <v>0</v>
      </c>
      <c r="AL113" s="90"/>
      <c r="AM113" s="101"/>
      <c r="AN113" s="487"/>
      <c r="AO113" s="497"/>
      <c r="AP113" s="496">
        <v>0</v>
      </c>
      <c r="AQ113" s="90"/>
      <c r="AR113" s="101"/>
      <c r="AS113" s="487"/>
      <c r="AT113" s="497"/>
      <c r="AU113" s="496">
        <v>0</v>
      </c>
      <c r="AV113" s="90"/>
      <c r="AW113" s="101"/>
      <c r="AX113" s="487"/>
      <c r="AY113" s="497"/>
      <c r="AZ113" s="496">
        <v>0</v>
      </c>
      <c r="BA113" s="90"/>
      <c r="BB113" s="101"/>
      <c r="BC113" s="487"/>
      <c r="BD113" s="497"/>
      <c r="BE113" s="496">
        <v>0</v>
      </c>
      <c r="BF113" s="90"/>
      <c r="BG113" s="101"/>
      <c r="BH113" s="487"/>
      <c r="BI113" s="497"/>
      <c r="BJ113" s="496">
        <v>0</v>
      </c>
      <c r="BK113" s="90"/>
      <c r="BL113" s="101"/>
      <c r="BM113" s="487"/>
      <c r="BN113" s="497"/>
      <c r="BO113" s="496">
        <v>0</v>
      </c>
      <c r="BP113" s="90"/>
      <c r="BQ113" s="101"/>
      <c r="BR113" s="487"/>
      <c r="BS113" s="497"/>
      <c r="BT113" s="496">
        <f>SUM(L113:BO113)</f>
        <v>0</v>
      </c>
      <c r="BU113" s="90"/>
      <c r="BV113" s="101"/>
      <c r="BW113" s="398"/>
    </row>
    <row r="114" spans="1:75" x14ac:dyDescent="0.3">
      <c r="A114" s="388"/>
      <c r="B114" s="388"/>
      <c r="C114" s="388"/>
      <c r="D114" s="398"/>
      <c r="E114" s="404"/>
      <c r="F114" s="388"/>
      <c r="G114" s="101"/>
      <c r="H114" s="101"/>
      <c r="I114" s="101"/>
      <c r="J114" s="487"/>
      <c r="K114" s="101"/>
      <c r="L114" s="101"/>
      <c r="M114" s="101"/>
      <c r="N114" s="101"/>
      <c r="O114" s="487"/>
      <c r="P114" s="101"/>
      <c r="Q114" s="101"/>
      <c r="R114" s="101"/>
      <c r="S114" s="101"/>
      <c r="T114" s="487"/>
      <c r="U114" s="101"/>
      <c r="V114" s="101"/>
      <c r="W114" s="101"/>
      <c r="X114" s="101"/>
      <c r="Y114" s="487"/>
      <c r="Z114" s="101"/>
      <c r="AA114" s="101"/>
      <c r="AB114" s="101"/>
      <c r="AC114" s="101"/>
      <c r="AD114" s="487"/>
      <c r="AE114" s="101"/>
      <c r="AF114" s="101"/>
      <c r="AG114" s="101"/>
      <c r="AH114" s="101"/>
      <c r="AI114" s="487"/>
      <c r="AJ114" s="101"/>
      <c r="AK114" s="101"/>
      <c r="AL114" s="101"/>
      <c r="AM114" s="101"/>
      <c r="AN114" s="487"/>
      <c r="AO114" s="101"/>
      <c r="AP114" s="101"/>
      <c r="AQ114" s="101"/>
      <c r="AR114" s="101"/>
      <c r="AS114" s="487"/>
      <c r="AT114" s="101"/>
      <c r="AU114" s="101"/>
      <c r="AV114" s="101"/>
      <c r="AW114" s="101"/>
      <c r="AX114" s="487"/>
      <c r="AY114" s="101"/>
      <c r="AZ114" s="101"/>
      <c r="BA114" s="101"/>
      <c r="BB114" s="101"/>
      <c r="BC114" s="487"/>
      <c r="BD114" s="101"/>
      <c r="BE114" s="101"/>
      <c r="BF114" s="101"/>
      <c r="BG114" s="101"/>
      <c r="BH114" s="487"/>
      <c r="BI114" s="101"/>
      <c r="BJ114" s="101"/>
      <c r="BK114" s="101"/>
      <c r="BL114" s="101"/>
      <c r="BM114" s="487"/>
      <c r="BN114" s="101"/>
      <c r="BO114" s="101"/>
      <c r="BP114" s="101"/>
      <c r="BQ114" s="101"/>
      <c r="BR114" s="487"/>
      <c r="BS114" s="101"/>
      <c r="BT114" s="101"/>
      <c r="BU114" s="101"/>
      <c r="BV114" s="101"/>
      <c r="BW114" s="398"/>
    </row>
    <row r="115" spans="1:75" x14ac:dyDescent="0.3">
      <c r="A115" s="388"/>
      <c r="B115" s="388"/>
      <c r="C115" s="388"/>
      <c r="D115" s="398" t="s">
        <v>498</v>
      </c>
      <c r="E115" s="404"/>
      <c r="F115" s="388"/>
      <c r="G115" s="101">
        <f>SUM(G116:G117)</f>
        <v>0</v>
      </c>
      <c r="H115" s="101"/>
      <c r="I115" s="101"/>
      <c r="J115" s="487"/>
      <c r="K115" s="101"/>
      <c r="L115" s="101">
        <f>SUM(L116:L117)</f>
        <v>0</v>
      </c>
      <c r="M115" s="101"/>
      <c r="N115" s="101"/>
      <c r="O115" s="487"/>
      <c r="P115" s="101"/>
      <c r="Q115" s="101">
        <f>SUM(Q116:Q117)</f>
        <v>0</v>
      </c>
      <c r="R115" s="101"/>
      <c r="S115" s="101"/>
      <c r="T115" s="487"/>
      <c r="U115" s="101"/>
      <c r="V115" s="101">
        <f>SUM(V116:V117)</f>
        <v>0</v>
      </c>
      <c r="W115" s="101"/>
      <c r="X115" s="101"/>
      <c r="Y115" s="487"/>
      <c r="Z115" s="101"/>
      <c r="AA115" s="101">
        <f>SUM(AA116:AA117)</f>
        <v>0</v>
      </c>
      <c r="AB115" s="101"/>
      <c r="AC115" s="101"/>
      <c r="AD115" s="487"/>
      <c r="AE115" s="101"/>
      <c r="AF115" s="101">
        <f>SUM(AF116:AF117)</f>
        <v>0</v>
      </c>
      <c r="AG115" s="101"/>
      <c r="AH115" s="101"/>
      <c r="AI115" s="487"/>
      <c r="AJ115" s="101"/>
      <c r="AK115" s="101">
        <f>SUM(AK116:AK117)</f>
        <v>0</v>
      </c>
      <c r="AL115" s="101"/>
      <c r="AM115" s="101"/>
      <c r="AN115" s="487"/>
      <c r="AO115" s="101"/>
      <c r="AP115" s="101">
        <f>SUM(AP116:AP117)</f>
        <v>0</v>
      </c>
      <c r="AQ115" s="101"/>
      <c r="AR115" s="101"/>
      <c r="AS115" s="487"/>
      <c r="AT115" s="101"/>
      <c r="AU115" s="101">
        <f>SUM(AU116:AU117)</f>
        <v>0</v>
      </c>
      <c r="AV115" s="101"/>
      <c r="AW115" s="101"/>
      <c r="AX115" s="487"/>
      <c r="AY115" s="101"/>
      <c r="AZ115" s="101">
        <f>SUM(AZ116:AZ117)</f>
        <v>0</v>
      </c>
      <c r="BA115" s="101"/>
      <c r="BB115" s="101"/>
      <c r="BC115" s="487"/>
      <c r="BD115" s="101"/>
      <c r="BE115" s="101">
        <f>SUM(BE116:BE117)</f>
        <v>0</v>
      </c>
      <c r="BF115" s="101"/>
      <c r="BG115" s="101"/>
      <c r="BH115" s="487"/>
      <c r="BI115" s="101"/>
      <c r="BJ115" s="101">
        <f>SUM(BJ116:BJ117)</f>
        <v>0</v>
      </c>
      <c r="BK115" s="101"/>
      <c r="BL115" s="101"/>
      <c r="BM115" s="487"/>
      <c r="BN115" s="101"/>
      <c r="BO115" s="101">
        <f>SUM(BO116:BO117)</f>
        <v>0</v>
      </c>
      <c r="BP115" s="101"/>
      <c r="BQ115" s="101"/>
      <c r="BR115" s="487"/>
      <c r="BS115" s="101"/>
      <c r="BT115" s="101">
        <f>SUM(BT116:BT117)</f>
        <v>0</v>
      </c>
      <c r="BU115" s="101"/>
      <c r="BV115" s="101"/>
      <c r="BW115" s="398"/>
    </row>
    <row r="116" spans="1:75" x14ac:dyDescent="0.3">
      <c r="A116" s="388"/>
      <c r="B116" s="388"/>
      <c r="C116" s="388"/>
      <c r="D116" s="398" t="s">
        <v>495</v>
      </c>
      <c r="E116" s="404"/>
      <c r="F116" s="412"/>
      <c r="G116" s="485">
        <v>0</v>
      </c>
      <c r="H116" s="486"/>
      <c r="I116" s="101"/>
      <c r="J116" s="487"/>
      <c r="K116" s="488"/>
      <c r="L116" s="485">
        <v>0</v>
      </c>
      <c r="M116" s="486"/>
      <c r="N116" s="101"/>
      <c r="O116" s="487"/>
      <c r="P116" s="488"/>
      <c r="Q116" s="485">
        <v>0</v>
      </c>
      <c r="R116" s="486"/>
      <c r="S116" s="101"/>
      <c r="T116" s="487"/>
      <c r="U116" s="488"/>
      <c r="V116" s="485">
        <v>0</v>
      </c>
      <c r="W116" s="486"/>
      <c r="X116" s="101"/>
      <c r="Y116" s="487"/>
      <c r="Z116" s="488"/>
      <c r="AA116" s="485">
        <v>0</v>
      </c>
      <c r="AB116" s="486"/>
      <c r="AC116" s="101"/>
      <c r="AD116" s="487"/>
      <c r="AE116" s="488"/>
      <c r="AF116" s="485">
        <v>0</v>
      </c>
      <c r="AG116" s="486"/>
      <c r="AH116" s="101"/>
      <c r="AI116" s="487"/>
      <c r="AJ116" s="488"/>
      <c r="AK116" s="485">
        <v>0</v>
      </c>
      <c r="AL116" s="486"/>
      <c r="AM116" s="101"/>
      <c r="AN116" s="487"/>
      <c r="AO116" s="488"/>
      <c r="AP116" s="485">
        <v>0</v>
      </c>
      <c r="AQ116" s="486"/>
      <c r="AR116" s="101"/>
      <c r="AS116" s="487"/>
      <c r="AT116" s="488"/>
      <c r="AU116" s="485">
        <v>0</v>
      </c>
      <c r="AV116" s="486"/>
      <c r="AW116" s="101"/>
      <c r="AX116" s="487"/>
      <c r="AY116" s="488"/>
      <c r="AZ116" s="485">
        <v>0</v>
      </c>
      <c r="BA116" s="486"/>
      <c r="BB116" s="101"/>
      <c r="BC116" s="487"/>
      <c r="BD116" s="488"/>
      <c r="BE116" s="485">
        <v>0</v>
      </c>
      <c r="BF116" s="486"/>
      <c r="BG116" s="101"/>
      <c r="BH116" s="487"/>
      <c r="BI116" s="488"/>
      <c r="BJ116" s="485">
        <v>0</v>
      </c>
      <c r="BK116" s="486"/>
      <c r="BL116" s="101"/>
      <c r="BM116" s="487"/>
      <c r="BN116" s="488"/>
      <c r="BO116" s="485">
        <v>0</v>
      </c>
      <c r="BP116" s="486"/>
      <c r="BQ116" s="101"/>
      <c r="BR116" s="487"/>
      <c r="BS116" s="488"/>
      <c r="BT116" s="485">
        <f>SUM(L116:BO116)</f>
        <v>0</v>
      </c>
      <c r="BU116" s="486"/>
      <c r="BV116" s="101"/>
      <c r="BW116" s="398"/>
    </row>
    <row r="117" spans="1:75" x14ac:dyDescent="0.3">
      <c r="A117" s="388"/>
      <c r="B117" s="388"/>
      <c r="C117" s="388"/>
      <c r="D117" s="398" t="s">
        <v>496</v>
      </c>
      <c r="E117" s="404"/>
      <c r="F117" s="427"/>
      <c r="G117" s="496">
        <v>0</v>
      </c>
      <c r="H117" s="90"/>
      <c r="I117" s="101"/>
      <c r="J117" s="487"/>
      <c r="K117" s="497"/>
      <c r="L117" s="496">
        <v>0</v>
      </c>
      <c r="M117" s="90"/>
      <c r="N117" s="101"/>
      <c r="O117" s="487"/>
      <c r="P117" s="497"/>
      <c r="Q117" s="496">
        <v>0</v>
      </c>
      <c r="R117" s="90"/>
      <c r="S117" s="101"/>
      <c r="T117" s="487"/>
      <c r="U117" s="497"/>
      <c r="V117" s="496">
        <v>0</v>
      </c>
      <c r="W117" s="90"/>
      <c r="X117" s="101"/>
      <c r="Y117" s="487"/>
      <c r="Z117" s="497"/>
      <c r="AA117" s="496">
        <v>0</v>
      </c>
      <c r="AB117" s="90"/>
      <c r="AC117" s="101"/>
      <c r="AD117" s="487"/>
      <c r="AE117" s="497"/>
      <c r="AF117" s="496">
        <v>0</v>
      </c>
      <c r="AG117" s="90"/>
      <c r="AH117" s="101"/>
      <c r="AI117" s="487"/>
      <c r="AJ117" s="497"/>
      <c r="AK117" s="496">
        <v>0</v>
      </c>
      <c r="AL117" s="90"/>
      <c r="AM117" s="101"/>
      <c r="AN117" s="487"/>
      <c r="AO117" s="497"/>
      <c r="AP117" s="496">
        <v>0</v>
      </c>
      <c r="AQ117" s="90"/>
      <c r="AR117" s="101"/>
      <c r="AS117" s="487"/>
      <c r="AT117" s="497"/>
      <c r="AU117" s="496">
        <v>0</v>
      </c>
      <c r="AV117" s="90"/>
      <c r="AW117" s="101"/>
      <c r="AX117" s="487"/>
      <c r="AY117" s="497"/>
      <c r="AZ117" s="496">
        <v>0</v>
      </c>
      <c r="BA117" s="90"/>
      <c r="BB117" s="101"/>
      <c r="BC117" s="487"/>
      <c r="BD117" s="497"/>
      <c r="BE117" s="496">
        <v>0</v>
      </c>
      <c r="BF117" s="90"/>
      <c r="BG117" s="101"/>
      <c r="BH117" s="487"/>
      <c r="BI117" s="497"/>
      <c r="BJ117" s="496">
        <v>0</v>
      </c>
      <c r="BK117" s="90"/>
      <c r="BL117" s="101"/>
      <c r="BM117" s="487"/>
      <c r="BN117" s="497"/>
      <c r="BO117" s="496">
        <v>0</v>
      </c>
      <c r="BP117" s="90"/>
      <c r="BQ117" s="101"/>
      <c r="BR117" s="487"/>
      <c r="BS117" s="497"/>
      <c r="BT117" s="496">
        <f>SUM(L117:BO117)</f>
        <v>0</v>
      </c>
      <c r="BU117" s="90"/>
      <c r="BV117" s="101"/>
      <c r="BW117" s="398"/>
    </row>
    <row r="118" spans="1:75" x14ac:dyDescent="0.3">
      <c r="A118" s="388"/>
      <c r="B118" s="388"/>
      <c r="C118" s="388"/>
      <c r="D118" s="398"/>
      <c r="E118" s="404"/>
      <c r="F118" s="388"/>
      <c r="G118" s="101"/>
      <c r="H118" s="101"/>
      <c r="I118" s="101"/>
      <c r="J118" s="487"/>
      <c r="K118" s="101"/>
      <c r="L118" s="101"/>
      <c r="M118" s="101"/>
      <c r="N118" s="101"/>
      <c r="O118" s="487"/>
      <c r="P118" s="101"/>
      <c r="Q118" s="101"/>
      <c r="R118" s="101"/>
      <c r="S118" s="101"/>
      <c r="T118" s="487"/>
      <c r="U118" s="101"/>
      <c r="V118" s="101"/>
      <c r="W118" s="101"/>
      <c r="X118" s="101"/>
      <c r="Y118" s="487"/>
      <c r="Z118" s="101"/>
      <c r="AA118" s="101"/>
      <c r="AB118" s="101"/>
      <c r="AC118" s="101"/>
      <c r="AD118" s="487"/>
      <c r="AE118" s="101"/>
      <c r="AF118" s="101"/>
      <c r="AG118" s="101"/>
      <c r="AH118" s="101"/>
      <c r="AI118" s="487"/>
      <c r="AJ118" s="101"/>
      <c r="AK118" s="101"/>
      <c r="AL118" s="101"/>
      <c r="AM118" s="101"/>
      <c r="AN118" s="487"/>
      <c r="AO118" s="101"/>
      <c r="AP118" s="101"/>
      <c r="AQ118" s="101"/>
      <c r="AR118" s="101"/>
      <c r="AS118" s="487"/>
      <c r="AT118" s="101"/>
      <c r="AU118" s="101"/>
      <c r="AV118" s="101"/>
      <c r="AW118" s="101"/>
      <c r="AX118" s="487"/>
      <c r="AY118" s="101"/>
      <c r="AZ118" s="101"/>
      <c r="BA118" s="101"/>
      <c r="BB118" s="101"/>
      <c r="BC118" s="487"/>
      <c r="BD118" s="101"/>
      <c r="BE118" s="101"/>
      <c r="BF118" s="101"/>
      <c r="BG118" s="101"/>
      <c r="BH118" s="487"/>
      <c r="BI118" s="101"/>
      <c r="BJ118" s="101"/>
      <c r="BK118" s="101"/>
      <c r="BL118" s="101"/>
      <c r="BM118" s="487"/>
      <c r="BN118" s="101"/>
      <c r="BO118" s="101"/>
      <c r="BP118" s="101"/>
      <c r="BQ118" s="101"/>
      <c r="BR118" s="487"/>
      <c r="BS118" s="101"/>
      <c r="BT118" s="101"/>
      <c r="BU118" s="101"/>
      <c r="BV118" s="101"/>
      <c r="BW118" s="398"/>
    </row>
    <row r="119" spans="1:75" x14ac:dyDescent="0.3">
      <c r="A119" s="388"/>
      <c r="B119" s="388"/>
      <c r="C119" s="388"/>
      <c r="D119" s="398" t="s">
        <v>499</v>
      </c>
      <c r="E119" s="404"/>
      <c r="F119" s="388"/>
      <c r="G119" s="101">
        <f>SUM(G120:G121)</f>
        <v>0</v>
      </c>
      <c r="H119" s="101"/>
      <c r="I119" s="101"/>
      <c r="J119" s="487"/>
      <c r="K119" s="101"/>
      <c r="L119" s="101">
        <f>SUM(L120:L121)</f>
        <v>0</v>
      </c>
      <c r="M119" s="101"/>
      <c r="N119" s="101"/>
      <c r="O119" s="487"/>
      <c r="P119" s="101"/>
      <c r="Q119" s="101">
        <f>SUM(Q120:Q121)</f>
        <v>0</v>
      </c>
      <c r="R119" s="101"/>
      <c r="S119" s="101"/>
      <c r="T119" s="487"/>
      <c r="U119" s="101"/>
      <c r="V119" s="101">
        <f>SUM(V120:V121)</f>
        <v>0</v>
      </c>
      <c r="W119" s="101"/>
      <c r="X119" s="101"/>
      <c r="Y119" s="487"/>
      <c r="Z119" s="101"/>
      <c r="AA119" s="101">
        <f>SUM(AA120:AA121)</f>
        <v>0</v>
      </c>
      <c r="AB119" s="101"/>
      <c r="AC119" s="101"/>
      <c r="AD119" s="487"/>
      <c r="AE119" s="101"/>
      <c r="AF119" s="101">
        <f>SUM(AF120:AF121)</f>
        <v>0</v>
      </c>
      <c r="AG119" s="101"/>
      <c r="AH119" s="101"/>
      <c r="AI119" s="487"/>
      <c r="AJ119" s="101"/>
      <c r="AK119" s="101">
        <f>SUM(AK120:AK121)</f>
        <v>0</v>
      </c>
      <c r="AL119" s="101"/>
      <c r="AM119" s="101"/>
      <c r="AN119" s="487"/>
      <c r="AO119" s="101"/>
      <c r="AP119" s="101">
        <f>SUM(AP120:AP121)</f>
        <v>0</v>
      </c>
      <c r="AQ119" s="101"/>
      <c r="AR119" s="101"/>
      <c r="AS119" s="487"/>
      <c r="AT119" s="101"/>
      <c r="AU119" s="101">
        <f>SUM(AU120:AU121)</f>
        <v>0</v>
      </c>
      <c r="AV119" s="101"/>
      <c r="AW119" s="101"/>
      <c r="AX119" s="487"/>
      <c r="AY119" s="101"/>
      <c r="AZ119" s="101">
        <f>SUM(AZ120:AZ121)</f>
        <v>0</v>
      </c>
      <c r="BA119" s="101"/>
      <c r="BB119" s="101"/>
      <c r="BC119" s="487"/>
      <c r="BD119" s="101"/>
      <c r="BE119" s="101">
        <f>SUM(BE120:BE121)</f>
        <v>0</v>
      </c>
      <c r="BF119" s="101"/>
      <c r="BG119" s="101"/>
      <c r="BH119" s="487"/>
      <c r="BI119" s="101"/>
      <c r="BJ119" s="101">
        <f>SUM(BJ120:BJ121)</f>
        <v>0</v>
      </c>
      <c r="BK119" s="101"/>
      <c r="BL119" s="101"/>
      <c r="BM119" s="487"/>
      <c r="BN119" s="101"/>
      <c r="BO119" s="101">
        <f>SUM(BO120:BO121)</f>
        <v>0</v>
      </c>
      <c r="BP119" s="101"/>
      <c r="BQ119" s="101"/>
      <c r="BR119" s="487"/>
      <c r="BS119" s="101"/>
      <c r="BT119" s="101">
        <f>SUM(BT120:BT121)</f>
        <v>0</v>
      </c>
      <c r="BU119" s="101"/>
      <c r="BV119" s="101"/>
      <c r="BW119" s="398"/>
    </row>
    <row r="120" spans="1:75" x14ac:dyDescent="0.3">
      <c r="A120" s="388"/>
      <c r="B120" s="388"/>
      <c r="C120" s="388"/>
      <c r="D120" s="398" t="s">
        <v>495</v>
      </c>
      <c r="E120" s="404"/>
      <c r="F120" s="412"/>
      <c r="G120" s="485">
        <v>0</v>
      </c>
      <c r="H120" s="486"/>
      <c r="I120" s="101"/>
      <c r="J120" s="487"/>
      <c r="K120" s="488"/>
      <c r="L120" s="485">
        <v>0</v>
      </c>
      <c r="M120" s="486"/>
      <c r="N120" s="101"/>
      <c r="O120" s="487"/>
      <c r="P120" s="488"/>
      <c r="Q120" s="485">
        <v>0</v>
      </c>
      <c r="R120" s="486"/>
      <c r="S120" s="101"/>
      <c r="T120" s="487"/>
      <c r="U120" s="488"/>
      <c r="V120" s="485">
        <v>0</v>
      </c>
      <c r="W120" s="486"/>
      <c r="X120" s="101"/>
      <c r="Y120" s="487"/>
      <c r="Z120" s="488"/>
      <c r="AA120" s="485">
        <v>0</v>
      </c>
      <c r="AB120" s="486"/>
      <c r="AC120" s="101"/>
      <c r="AD120" s="487"/>
      <c r="AE120" s="488"/>
      <c r="AF120" s="485">
        <v>0</v>
      </c>
      <c r="AG120" s="486"/>
      <c r="AH120" s="101"/>
      <c r="AI120" s="487"/>
      <c r="AJ120" s="488"/>
      <c r="AK120" s="485">
        <v>0</v>
      </c>
      <c r="AL120" s="486"/>
      <c r="AM120" s="101"/>
      <c r="AN120" s="487"/>
      <c r="AO120" s="488"/>
      <c r="AP120" s="485">
        <v>0</v>
      </c>
      <c r="AQ120" s="486"/>
      <c r="AR120" s="101"/>
      <c r="AS120" s="487"/>
      <c r="AT120" s="488"/>
      <c r="AU120" s="485">
        <v>0</v>
      </c>
      <c r="AV120" s="486"/>
      <c r="AW120" s="101"/>
      <c r="AX120" s="487"/>
      <c r="AY120" s="488"/>
      <c r="AZ120" s="485">
        <v>0</v>
      </c>
      <c r="BA120" s="486"/>
      <c r="BB120" s="101"/>
      <c r="BC120" s="487"/>
      <c r="BD120" s="488"/>
      <c r="BE120" s="485">
        <v>0</v>
      </c>
      <c r="BF120" s="486"/>
      <c r="BG120" s="101"/>
      <c r="BH120" s="487"/>
      <c r="BI120" s="488"/>
      <c r="BJ120" s="485">
        <v>0</v>
      </c>
      <c r="BK120" s="486"/>
      <c r="BL120" s="101"/>
      <c r="BM120" s="487"/>
      <c r="BN120" s="488"/>
      <c r="BO120" s="485">
        <v>0</v>
      </c>
      <c r="BP120" s="486"/>
      <c r="BQ120" s="101"/>
      <c r="BR120" s="487"/>
      <c r="BS120" s="488"/>
      <c r="BT120" s="485">
        <f>SUM(L120:BO120)</f>
        <v>0</v>
      </c>
      <c r="BU120" s="486"/>
      <c r="BV120" s="101"/>
      <c r="BW120" s="398"/>
    </row>
    <row r="121" spans="1:75" x14ac:dyDescent="0.3">
      <c r="A121" s="388"/>
      <c r="B121" s="388"/>
      <c r="C121" s="388"/>
      <c r="D121" s="398" t="s">
        <v>496</v>
      </c>
      <c r="E121" s="404"/>
      <c r="F121" s="427"/>
      <c r="G121" s="496">
        <v>0</v>
      </c>
      <c r="H121" s="90"/>
      <c r="I121" s="101"/>
      <c r="J121" s="487"/>
      <c r="K121" s="497"/>
      <c r="L121" s="496">
        <v>0</v>
      </c>
      <c r="M121" s="90"/>
      <c r="N121" s="101"/>
      <c r="O121" s="487"/>
      <c r="P121" s="497"/>
      <c r="Q121" s="496">
        <v>0</v>
      </c>
      <c r="R121" s="90"/>
      <c r="S121" s="101"/>
      <c r="T121" s="487"/>
      <c r="U121" s="497"/>
      <c r="V121" s="496">
        <v>0</v>
      </c>
      <c r="W121" s="90"/>
      <c r="X121" s="101"/>
      <c r="Y121" s="487"/>
      <c r="Z121" s="497"/>
      <c r="AA121" s="496">
        <v>0</v>
      </c>
      <c r="AB121" s="90"/>
      <c r="AC121" s="101"/>
      <c r="AD121" s="487"/>
      <c r="AE121" s="497"/>
      <c r="AF121" s="496">
        <v>0</v>
      </c>
      <c r="AG121" s="90"/>
      <c r="AH121" s="101"/>
      <c r="AI121" s="487"/>
      <c r="AJ121" s="497"/>
      <c r="AK121" s="496">
        <v>0</v>
      </c>
      <c r="AL121" s="90"/>
      <c r="AM121" s="101"/>
      <c r="AN121" s="487"/>
      <c r="AO121" s="497"/>
      <c r="AP121" s="496">
        <v>0</v>
      </c>
      <c r="AQ121" s="90"/>
      <c r="AR121" s="101"/>
      <c r="AS121" s="487"/>
      <c r="AT121" s="497"/>
      <c r="AU121" s="496">
        <v>0</v>
      </c>
      <c r="AV121" s="90"/>
      <c r="AW121" s="101"/>
      <c r="AX121" s="487"/>
      <c r="AY121" s="497"/>
      <c r="AZ121" s="496">
        <v>0</v>
      </c>
      <c r="BA121" s="90"/>
      <c r="BB121" s="101"/>
      <c r="BC121" s="487"/>
      <c r="BD121" s="497"/>
      <c r="BE121" s="496">
        <v>0</v>
      </c>
      <c r="BF121" s="90"/>
      <c r="BG121" s="101"/>
      <c r="BH121" s="487"/>
      <c r="BI121" s="497"/>
      <c r="BJ121" s="496">
        <v>0</v>
      </c>
      <c r="BK121" s="90"/>
      <c r="BL121" s="101"/>
      <c r="BM121" s="487"/>
      <c r="BN121" s="497"/>
      <c r="BO121" s="496">
        <v>0</v>
      </c>
      <c r="BP121" s="90"/>
      <c r="BQ121" s="101"/>
      <c r="BR121" s="487"/>
      <c r="BS121" s="497"/>
      <c r="BT121" s="496">
        <f>SUM(L121:BO121)</f>
        <v>0</v>
      </c>
      <c r="BU121" s="90"/>
      <c r="BV121" s="101"/>
      <c r="BW121" s="398"/>
    </row>
    <row r="122" spans="1:75" ht="12.75" hidden="1" x14ac:dyDescent="0.2">
      <c r="A122" s="388"/>
      <c r="B122" s="388"/>
      <c r="C122" s="388"/>
      <c r="D122" s="398"/>
      <c r="E122" s="404"/>
      <c r="F122" s="388"/>
      <c r="G122" s="101"/>
      <c r="H122" s="101"/>
      <c r="I122" s="101"/>
      <c r="J122" s="487"/>
      <c r="K122" s="101"/>
      <c r="L122" s="101"/>
      <c r="M122" s="101"/>
      <c r="N122" s="101"/>
      <c r="O122" s="487"/>
      <c r="P122" s="101"/>
      <c r="Q122" s="101"/>
      <c r="R122" s="101"/>
      <c r="S122" s="101"/>
      <c r="T122" s="487"/>
      <c r="U122" s="101"/>
      <c r="V122" s="101"/>
      <c r="W122" s="101"/>
      <c r="X122" s="101"/>
      <c r="Y122" s="487"/>
      <c r="Z122" s="101"/>
      <c r="AA122" s="101"/>
      <c r="AB122" s="101"/>
      <c r="AC122" s="101"/>
      <c r="AD122" s="487"/>
      <c r="AE122" s="101"/>
      <c r="AF122" s="101"/>
      <c r="AG122" s="101"/>
      <c r="AH122" s="101"/>
      <c r="AI122" s="487"/>
      <c r="AJ122" s="101"/>
      <c r="AK122" s="101"/>
      <c r="AL122" s="101"/>
      <c r="AM122" s="101"/>
      <c r="AN122" s="487"/>
      <c r="AO122" s="101"/>
      <c r="AP122" s="101"/>
      <c r="AQ122" s="101"/>
      <c r="AR122" s="101"/>
      <c r="AS122" s="487"/>
      <c r="AT122" s="101"/>
      <c r="AU122" s="101"/>
      <c r="AV122" s="101"/>
      <c r="AW122" s="101"/>
      <c r="AX122" s="487"/>
      <c r="AY122" s="101"/>
      <c r="AZ122" s="101"/>
      <c r="BA122" s="101"/>
      <c r="BB122" s="101"/>
      <c r="BC122" s="487"/>
      <c r="BD122" s="101"/>
      <c r="BE122" s="101"/>
      <c r="BF122" s="101"/>
      <c r="BG122" s="101"/>
      <c r="BH122" s="487"/>
      <c r="BI122" s="101"/>
      <c r="BJ122" s="101"/>
      <c r="BK122" s="101"/>
      <c r="BL122" s="101"/>
      <c r="BM122" s="487"/>
      <c r="BN122" s="101"/>
      <c r="BO122" s="101"/>
      <c r="BP122" s="101"/>
      <c r="BQ122" s="101"/>
      <c r="BR122" s="487"/>
      <c r="BS122" s="101"/>
      <c r="BT122" s="101"/>
      <c r="BU122" s="101"/>
      <c r="BV122" s="101"/>
      <c r="BW122" s="398"/>
    </row>
    <row r="123" spans="1:75" ht="12.75" hidden="1" x14ac:dyDescent="0.2">
      <c r="A123" s="388"/>
      <c r="B123" s="388"/>
      <c r="C123" s="388"/>
      <c r="D123" s="398" t="s">
        <v>500</v>
      </c>
      <c r="E123" s="404"/>
      <c r="F123" s="388"/>
      <c r="G123" s="101">
        <v>0</v>
      </c>
      <c r="H123" s="101"/>
      <c r="I123" s="101"/>
      <c r="J123" s="487"/>
      <c r="K123" s="101"/>
      <c r="L123" s="101">
        <f>SUM(L124:L125)</f>
        <v>0</v>
      </c>
      <c r="M123" s="101"/>
      <c r="N123" s="101"/>
      <c r="O123" s="487"/>
      <c r="P123" s="101"/>
      <c r="Q123" s="101">
        <f>SUM(Q124:Q125)</f>
        <v>0</v>
      </c>
      <c r="R123" s="101"/>
      <c r="S123" s="101"/>
      <c r="T123" s="487"/>
      <c r="U123" s="101"/>
      <c r="V123" s="101">
        <f>SUM(V124:V125)</f>
        <v>0</v>
      </c>
      <c r="W123" s="101"/>
      <c r="X123" s="101"/>
      <c r="Y123" s="487"/>
      <c r="Z123" s="101"/>
      <c r="AA123" s="101">
        <f>SUM(AA124:AA125)</f>
        <v>0</v>
      </c>
      <c r="AB123" s="101"/>
      <c r="AC123" s="101"/>
      <c r="AD123" s="487"/>
      <c r="AE123" s="101"/>
      <c r="AF123" s="101">
        <f>SUM(AF124:AF125)</f>
        <v>0</v>
      </c>
      <c r="AG123" s="101"/>
      <c r="AH123" s="101"/>
      <c r="AI123" s="487"/>
      <c r="AJ123" s="101"/>
      <c r="AK123" s="101">
        <f>SUM(AK124:AK125)</f>
        <v>0</v>
      </c>
      <c r="AL123" s="101"/>
      <c r="AM123" s="101"/>
      <c r="AN123" s="487"/>
      <c r="AO123" s="101"/>
      <c r="AP123" s="101">
        <f>SUM(AP124:AP125)</f>
        <v>0</v>
      </c>
      <c r="AQ123" s="101"/>
      <c r="AR123" s="101"/>
      <c r="AS123" s="487"/>
      <c r="AT123" s="101"/>
      <c r="AU123" s="101">
        <f>SUM(AU124:AU125)</f>
        <v>0</v>
      </c>
      <c r="AV123" s="101"/>
      <c r="AW123" s="101"/>
      <c r="AX123" s="487"/>
      <c r="AY123" s="101"/>
      <c r="AZ123" s="101">
        <f>SUM(AZ124:AZ125)</f>
        <v>0</v>
      </c>
      <c r="BA123" s="101"/>
      <c r="BB123" s="101"/>
      <c r="BC123" s="487"/>
      <c r="BD123" s="101"/>
      <c r="BE123" s="101">
        <f>SUM(BE124:BE125)</f>
        <v>0</v>
      </c>
      <c r="BF123" s="101"/>
      <c r="BG123" s="101"/>
      <c r="BH123" s="487"/>
      <c r="BI123" s="101"/>
      <c r="BJ123" s="101">
        <f>SUM(BJ124:BJ125)</f>
        <v>0</v>
      </c>
      <c r="BK123" s="101"/>
      <c r="BL123" s="101"/>
      <c r="BM123" s="487"/>
      <c r="BN123" s="101"/>
      <c r="BO123" s="101">
        <f>SUM(BO124:BO125)</f>
        <v>0</v>
      </c>
      <c r="BP123" s="101"/>
      <c r="BQ123" s="101"/>
      <c r="BR123" s="487"/>
      <c r="BS123" s="101"/>
      <c r="BT123" s="101">
        <f>SUM(BT124:BT125)</f>
        <v>0</v>
      </c>
      <c r="BU123" s="101"/>
      <c r="BV123" s="101"/>
      <c r="BW123" s="398"/>
    </row>
    <row r="124" spans="1:75" ht="12.75" hidden="1" x14ac:dyDescent="0.2">
      <c r="A124" s="388"/>
      <c r="B124" s="388"/>
      <c r="C124" s="388"/>
      <c r="D124" s="398" t="s">
        <v>495</v>
      </c>
      <c r="E124" s="404"/>
      <c r="F124" s="412"/>
      <c r="G124" s="485">
        <v>0</v>
      </c>
      <c r="H124" s="486"/>
      <c r="I124" s="101"/>
      <c r="J124" s="487"/>
      <c r="K124" s="488"/>
      <c r="L124" s="485">
        <v>0</v>
      </c>
      <c r="M124" s="486"/>
      <c r="N124" s="101"/>
      <c r="O124" s="487"/>
      <c r="P124" s="488"/>
      <c r="Q124" s="485">
        <v>0</v>
      </c>
      <c r="R124" s="486"/>
      <c r="S124" s="101"/>
      <c r="T124" s="487"/>
      <c r="U124" s="488"/>
      <c r="V124" s="485">
        <v>0</v>
      </c>
      <c r="W124" s="486"/>
      <c r="X124" s="101"/>
      <c r="Y124" s="487"/>
      <c r="Z124" s="488"/>
      <c r="AA124" s="485">
        <v>0</v>
      </c>
      <c r="AB124" s="486"/>
      <c r="AC124" s="101"/>
      <c r="AD124" s="487"/>
      <c r="AE124" s="488"/>
      <c r="AF124" s="485">
        <v>0</v>
      </c>
      <c r="AG124" s="486"/>
      <c r="AH124" s="101"/>
      <c r="AI124" s="487"/>
      <c r="AJ124" s="488"/>
      <c r="AK124" s="485">
        <v>0</v>
      </c>
      <c r="AL124" s="486"/>
      <c r="AM124" s="101"/>
      <c r="AN124" s="487"/>
      <c r="AO124" s="488"/>
      <c r="AP124" s="485">
        <v>0</v>
      </c>
      <c r="AQ124" s="486"/>
      <c r="AR124" s="101"/>
      <c r="AS124" s="487"/>
      <c r="AT124" s="488"/>
      <c r="AU124" s="485">
        <v>0</v>
      </c>
      <c r="AV124" s="486"/>
      <c r="AW124" s="101"/>
      <c r="AX124" s="487"/>
      <c r="AY124" s="488"/>
      <c r="AZ124" s="485">
        <v>0</v>
      </c>
      <c r="BA124" s="486"/>
      <c r="BB124" s="101"/>
      <c r="BC124" s="487"/>
      <c r="BD124" s="488"/>
      <c r="BE124" s="485">
        <v>0</v>
      </c>
      <c r="BF124" s="486"/>
      <c r="BG124" s="101"/>
      <c r="BH124" s="487"/>
      <c r="BI124" s="488"/>
      <c r="BJ124" s="485">
        <v>0</v>
      </c>
      <c r="BK124" s="486"/>
      <c r="BL124" s="101"/>
      <c r="BM124" s="487"/>
      <c r="BN124" s="488"/>
      <c r="BO124" s="485">
        <v>0</v>
      </c>
      <c r="BP124" s="486"/>
      <c r="BQ124" s="101"/>
      <c r="BR124" s="487"/>
      <c r="BS124" s="488"/>
      <c r="BT124" s="485">
        <f>SUM(L124:BO124)</f>
        <v>0</v>
      </c>
      <c r="BU124" s="486"/>
      <c r="BV124" s="101"/>
      <c r="BW124" s="398"/>
    </row>
    <row r="125" spans="1:75" ht="12.75" hidden="1" x14ac:dyDescent="0.2">
      <c r="A125" s="388"/>
      <c r="B125" s="388"/>
      <c r="C125" s="388"/>
      <c r="D125" s="398" t="s">
        <v>496</v>
      </c>
      <c r="E125" s="404"/>
      <c r="F125" s="427"/>
      <c r="G125" s="496">
        <v>0</v>
      </c>
      <c r="H125" s="90"/>
      <c r="I125" s="101"/>
      <c r="J125" s="487"/>
      <c r="K125" s="497"/>
      <c r="L125" s="496">
        <v>0</v>
      </c>
      <c r="M125" s="90"/>
      <c r="N125" s="101"/>
      <c r="O125" s="487"/>
      <c r="P125" s="497"/>
      <c r="Q125" s="496">
        <v>0</v>
      </c>
      <c r="R125" s="90"/>
      <c r="S125" s="101"/>
      <c r="T125" s="487"/>
      <c r="U125" s="497"/>
      <c r="V125" s="496">
        <v>0</v>
      </c>
      <c r="W125" s="90"/>
      <c r="X125" s="101"/>
      <c r="Y125" s="487"/>
      <c r="Z125" s="497"/>
      <c r="AA125" s="496">
        <v>0</v>
      </c>
      <c r="AB125" s="90"/>
      <c r="AC125" s="101"/>
      <c r="AD125" s="487"/>
      <c r="AE125" s="497"/>
      <c r="AF125" s="496">
        <v>0</v>
      </c>
      <c r="AG125" s="90"/>
      <c r="AH125" s="101"/>
      <c r="AI125" s="487"/>
      <c r="AJ125" s="497"/>
      <c r="AK125" s="496">
        <v>0</v>
      </c>
      <c r="AL125" s="90"/>
      <c r="AM125" s="101"/>
      <c r="AN125" s="487"/>
      <c r="AO125" s="497"/>
      <c r="AP125" s="496">
        <v>0</v>
      </c>
      <c r="AQ125" s="90"/>
      <c r="AR125" s="101"/>
      <c r="AS125" s="487"/>
      <c r="AT125" s="497"/>
      <c r="AU125" s="496">
        <v>0</v>
      </c>
      <c r="AV125" s="90"/>
      <c r="AW125" s="101"/>
      <c r="AX125" s="487"/>
      <c r="AY125" s="497"/>
      <c r="AZ125" s="496">
        <v>0</v>
      </c>
      <c r="BA125" s="90"/>
      <c r="BB125" s="101"/>
      <c r="BC125" s="487"/>
      <c r="BD125" s="497"/>
      <c r="BE125" s="496">
        <v>0</v>
      </c>
      <c r="BF125" s="90"/>
      <c r="BG125" s="101"/>
      <c r="BH125" s="487"/>
      <c r="BI125" s="497"/>
      <c r="BJ125" s="496">
        <v>0</v>
      </c>
      <c r="BK125" s="90"/>
      <c r="BL125" s="101"/>
      <c r="BM125" s="487"/>
      <c r="BN125" s="497"/>
      <c r="BO125" s="496">
        <v>0</v>
      </c>
      <c r="BP125" s="90"/>
      <c r="BQ125" s="101"/>
      <c r="BR125" s="487"/>
      <c r="BS125" s="497"/>
      <c r="BT125" s="496">
        <f>SUM(L125:BO125)</f>
        <v>0</v>
      </c>
      <c r="BU125" s="90"/>
      <c r="BV125" s="101"/>
      <c r="BW125" s="398"/>
    </row>
    <row r="126" spans="1:75" ht="12.75" hidden="1" x14ac:dyDescent="0.2">
      <c r="A126" s="388"/>
      <c r="B126" s="388"/>
      <c r="C126" s="388"/>
      <c r="D126" s="398"/>
      <c r="E126" s="404"/>
      <c r="F126" s="388"/>
      <c r="G126" s="101"/>
      <c r="H126" s="101"/>
      <c r="I126" s="101"/>
      <c r="J126" s="487"/>
      <c r="K126" s="101"/>
      <c r="L126" s="101"/>
      <c r="M126" s="101"/>
      <c r="N126" s="101"/>
      <c r="O126" s="487"/>
      <c r="P126" s="101"/>
      <c r="Q126" s="101"/>
      <c r="R126" s="101"/>
      <c r="S126" s="101"/>
      <c r="T126" s="487"/>
      <c r="U126" s="101"/>
      <c r="V126" s="101"/>
      <c r="W126" s="101"/>
      <c r="X126" s="101"/>
      <c r="Y126" s="487"/>
      <c r="Z126" s="101"/>
      <c r="AA126" s="101"/>
      <c r="AB126" s="101"/>
      <c r="AC126" s="101"/>
      <c r="AD126" s="487"/>
      <c r="AE126" s="101"/>
      <c r="AF126" s="101"/>
      <c r="AG126" s="101"/>
      <c r="AH126" s="101"/>
      <c r="AI126" s="487"/>
      <c r="AJ126" s="101"/>
      <c r="AK126" s="101"/>
      <c r="AL126" s="101"/>
      <c r="AM126" s="101"/>
      <c r="AN126" s="487"/>
      <c r="AO126" s="101"/>
      <c r="AP126" s="101"/>
      <c r="AQ126" s="101"/>
      <c r="AR126" s="101"/>
      <c r="AS126" s="487"/>
      <c r="AT126" s="101"/>
      <c r="AU126" s="101"/>
      <c r="AV126" s="101"/>
      <c r="AW126" s="101"/>
      <c r="AX126" s="487"/>
      <c r="AY126" s="101"/>
      <c r="AZ126" s="101"/>
      <c r="BA126" s="101"/>
      <c r="BB126" s="101"/>
      <c r="BC126" s="487"/>
      <c r="BD126" s="101"/>
      <c r="BE126" s="101"/>
      <c r="BF126" s="101"/>
      <c r="BG126" s="101"/>
      <c r="BH126" s="487"/>
      <c r="BI126" s="101"/>
      <c r="BJ126" s="101"/>
      <c r="BK126" s="101"/>
      <c r="BL126" s="101"/>
      <c r="BM126" s="487"/>
      <c r="BN126" s="101"/>
      <c r="BO126" s="101"/>
      <c r="BP126" s="101"/>
      <c r="BQ126" s="101"/>
      <c r="BR126" s="487"/>
      <c r="BS126" s="101"/>
      <c r="BT126" s="101"/>
      <c r="BU126" s="101"/>
      <c r="BV126" s="101"/>
      <c r="BW126" s="398"/>
    </row>
    <row r="127" spans="1:75" ht="12.75" hidden="1" x14ac:dyDescent="0.2">
      <c r="A127" s="388"/>
      <c r="B127" s="388"/>
      <c r="C127" s="388"/>
      <c r="D127" s="398" t="s">
        <v>501</v>
      </c>
      <c r="E127" s="404"/>
      <c r="F127" s="388"/>
      <c r="G127" s="101">
        <v>0</v>
      </c>
      <c r="H127" s="101"/>
      <c r="I127" s="101"/>
      <c r="J127" s="487"/>
      <c r="K127" s="101"/>
      <c r="L127" s="101">
        <f>SUM(L128:L129)</f>
        <v>0</v>
      </c>
      <c r="M127" s="101"/>
      <c r="N127" s="101"/>
      <c r="O127" s="487"/>
      <c r="P127" s="101"/>
      <c r="Q127" s="101">
        <f>SUM(Q128:Q129)</f>
        <v>0</v>
      </c>
      <c r="R127" s="101"/>
      <c r="S127" s="101"/>
      <c r="T127" s="487"/>
      <c r="U127" s="101"/>
      <c r="V127" s="101">
        <f>SUM(V128:V129)</f>
        <v>0</v>
      </c>
      <c r="W127" s="101"/>
      <c r="X127" s="101"/>
      <c r="Y127" s="487"/>
      <c r="Z127" s="101"/>
      <c r="AA127" s="101">
        <f>SUM(AA128:AA129)</f>
        <v>0</v>
      </c>
      <c r="AB127" s="101"/>
      <c r="AC127" s="101"/>
      <c r="AD127" s="487"/>
      <c r="AE127" s="101"/>
      <c r="AF127" s="101">
        <f>SUM(AF128:AF129)</f>
        <v>0</v>
      </c>
      <c r="AG127" s="101"/>
      <c r="AH127" s="101"/>
      <c r="AI127" s="487"/>
      <c r="AJ127" s="101"/>
      <c r="AK127" s="101">
        <f>SUM(AK128:AK129)</f>
        <v>0</v>
      </c>
      <c r="AL127" s="101"/>
      <c r="AM127" s="101"/>
      <c r="AN127" s="487"/>
      <c r="AO127" s="101"/>
      <c r="AP127" s="101">
        <f>SUM(AP128:AP129)</f>
        <v>0</v>
      </c>
      <c r="AQ127" s="101"/>
      <c r="AR127" s="101"/>
      <c r="AS127" s="487"/>
      <c r="AT127" s="101"/>
      <c r="AU127" s="101">
        <f>SUM(AU128:AU129)</f>
        <v>0</v>
      </c>
      <c r="AV127" s="101"/>
      <c r="AW127" s="101"/>
      <c r="AX127" s="487"/>
      <c r="AY127" s="101"/>
      <c r="AZ127" s="101">
        <f>SUM(AZ128:AZ129)</f>
        <v>0</v>
      </c>
      <c r="BA127" s="101"/>
      <c r="BB127" s="101"/>
      <c r="BC127" s="487"/>
      <c r="BD127" s="101"/>
      <c r="BE127" s="101">
        <f>SUM(BE128:BE129)</f>
        <v>0</v>
      </c>
      <c r="BF127" s="101"/>
      <c r="BG127" s="101"/>
      <c r="BH127" s="487"/>
      <c r="BI127" s="101"/>
      <c r="BJ127" s="101">
        <f>SUM(BJ128:BJ129)</f>
        <v>0</v>
      </c>
      <c r="BK127" s="101"/>
      <c r="BL127" s="101"/>
      <c r="BM127" s="487"/>
      <c r="BN127" s="101"/>
      <c r="BO127" s="101">
        <f>SUM(BO128:BO129)</f>
        <v>0</v>
      </c>
      <c r="BP127" s="101"/>
      <c r="BQ127" s="101"/>
      <c r="BR127" s="487"/>
      <c r="BS127" s="101"/>
      <c r="BT127" s="101">
        <f>SUM(BT128:BT129)</f>
        <v>0</v>
      </c>
      <c r="BU127" s="101"/>
      <c r="BV127" s="101"/>
      <c r="BW127" s="398"/>
    </row>
    <row r="128" spans="1:75" ht="12.75" hidden="1" x14ac:dyDescent="0.2">
      <c r="A128" s="388"/>
      <c r="B128" s="388"/>
      <c r="C128" s="388"/>
      <c r="D128" s="398" t="s">
        <v>495</v>
      </c>
      <c r="E128" s="404"/>
      <c r="F128" s="412"/>
      <c r="G128" s="485">
        <v>0</v>
      </c>
      <c r="H128" s="486"/>
      <c r="I128" s="101"/>
      <c r="J128" s="487"/>
      <c r="K128" s="488"/>
      <c r="L128" s="485">
        <v>0</v>
      </c>
      <c r="M128" s="486"/>
      <c r="N128" s="101"/>
      <c r="O128" s="487"/>
      <c r="P128" s="488"/>
      <c r="Q128" s="485">
        <v>0</v>
      </c>
      <c r="R128" s="486"/>
      <c r="S128" s="101"/>
      <c r="T128" s="487"/>
      <c r="U128" s="488"/>
      <c r="V128" s="485">
        <v>0</v>
      </c>
      <c r="W128" s="486"/>
      <c r="X128" s="101"/>
      <c r="Y128" s="487"/>
      <c r="Z128" s="488"/>
      <c r="AA128" s="485">
        <v>0</v>
      </c>
      <c r="AB128" s="486"/>
      <c r="AC128" s="101"/>
      <c r="AD128" s="487"/>
      <c r="AE128" s="488"/>
      <c r="AF128" s="485">
        <v>0</v>
      </c>
      <c r="AG128" s="486"/>
      <c r="AH128" s="101"/>
      <c r="AI128" s="487"/>
      <c r="AJ128" s="488"/>
      <c r="AK128" s="485">
        <v>0</v>
      </c>
      <c r="AL128" s="486"/>
      <c r="AM128" s="101"/>
      <c r="AN128" s="487"/>
      <c r="AO128" s="488"/>
      <c r="AP128" s="485">
        <v>0</v>
      </c>
      <c r="AQ128" s="486"/>
      <c r="AR128" s="101"/>
      <c r="AS128" s="487"/>
      <c r="AT128" s="488"/>
      <c r="AU128" s="485">
        <v>0</v>
      </c>
      <c r="AV128" s="486"/>
      <c r="AW128" s="101"/>
      <c r="AX128" s="487"/>
      <c r="AY128" s="488"/>
      <c r="AZ128" s="485">
        <v>0</v>
      </c>
      <c r="BA128" s="486"/>
      <c r="BB128" s="101"/>
      <c r="BC128" s="487"/>
      <c r="BD128" s="488"/>
      <c r="BE128" s="485">
        <v>0</v>
      </c>
      <c r="BF128" s="486"/>
      <c r="BG128" s="101"/>
      <c r="BH128" s="487"/>
      <c r="BI128" s="488"/>
      <c r="BJ128" s="485">
        <v>0</v>
      </c>
      <c r="BK128" s="486"/>
      <c r="BL128" s="101"/>
      <c r="BM128" s="487"/>
      <c r="BN128" s="488"/>
      <c r="BO128" s="485">
        <v>0</v>
      </c>
      <c r="BP128" s="486"/>
      <c r="BQ128" s="101"/>
      <c r="BR128" s="487"/>
      <c r="BS128" s="488"/>
      <c r="BT128" s="485">
        <f>SUM(L128:BO128)</f>
        <v>0</v>
      </c>
      <c r="BU128" s="486"/>
      <c r="BV128" s="101"/>
      <c r="BW128" s="398"/>
    </row>
    <row r="129" spans="1:75" ht="12.75" hidden="1" x14ac:dyDescent="0.2">
      <c r="A129" s="388"/>
      <c r="B129" s="388"/>
      <c r="C129" s="388"/>
      <c r="D129" s="398" t="s">
        <v>496</v>
      </c>
      <c r="E129" s="404"/>
      <c r="F129" s="427"/>
      <c r="G129" s="496">
        <v>0</v>
      </c>
      <c r="H129" s="90"/>
      <c r="I129" s="101"/>
      <c r="J129" s="487"/>
      <c r="K129" s="497"/>
      <c r="L129" s="496">
        <v>0</v>
      </c>
      <c r="M129" s="90"/>
      <c r="N129" s="101"/>
      <c r="O129" s="487"/>
      <c r="P129" s="497"/>
      <c r="Q129" s="496">
        <v>0</v>
      </c>
      <c r="R129" s="90"/>
      <c r="S129" s="101"/>
      <c r="T129" s="487"/>
      <c r="U129" s="497"/>
      <c r="V129" s="496">
        <v>0</v>
      </c>
      <c r="W129" s="90"/>
      <c r="X129" s="101"/>
      <c r="Y129" s="487"/>
      <c r="Z129" s="497"/>
      <c r="AA129" s="496">
        <v>0</v>
      </c>
      <c r="AB129" s="90"/>
      <c r="AC129" s="101"/>
      <c r="AD129" s="487"/>
      <c r="AE129" s="497"/>
      <c r="AF129" s="496">
        <v>0</v>
      </c>
      <c r="AG129" s="90"/>
      <c r="AH129" s="101"/>
      <c r="AI129" s="487"/>
      <c r="AJ129" s="497"/>
      <c r="AK129" s="496">
        <v>0</v>
      </c>
      <c r="AL129" s="90"/>
      <c r="AM129" s="101"/>
      <c r="AN129" s="487"/>
      <c r="AO129" s="497"/>
      <c r="AP129" s="496">
        <v>0</v>
      </c>
      <c r="AQ129" s="90"/>
      <c r="AR129" s="101"/>
      <c r="AS129" s="487"/>
      <c r="AT129" s="497"/>
      <c r="AU129" s="496">
        <v>0</v>
      </c>
      <c r="AV129" s="90"/>
      <c r="AW129" s="101"/>
      <c r="AX129" s="487"/>
      <c r="AY129" s="497"/>
      <c r="AZ129" s="496">
        <v>0</v>
      </c>
      <c r="BA129" s="90"/>
      <c r="BB129" s="101"/>
      <c r="BC129" s="487"/>
      <c r="BD129" s="497"/>
      <c r="BE129" s="496">
        <v>0</v>
      </c>
      <c r="BF129" s="90"/>
      <c r="BG129" s="101"/>
      <c r="BH129" s="487"/>
      <c r="BI129" s="497"/>
      <c r="BJ129" s="496">
        <v>0</v>
      </c>
      <c r="BK129" s="90"/>
      <c r="BL129" s="101"/>
      <c r="BM129" s="487"/>
      <c r="BN129" s="497"/>
      <c r="BO129" s="496">
        <v>0</v>
      </c>
      <c r="BP129" s="90"/>
      <c r="BQ129" s="101"/>
      <c r="BR129" s="487"/>
      <c r="BS129" s="497"/>
      <c r="BT129" s="496">
        <f>SUM(L129:BO129)</f>
        <v>0</v>
      </c>
      <c r="BU129" s="90"/>
      <c r="BV129" s="101"/>
      <c r="BW129" s="398"/>
    </row>
    <row r="130" spans="1:75" x14ac:dyDescent="0.3">
      <c r="A130" s="388"/>
      <c r="B130" s="388"/>
      <c r="C130" s="388"/>
      <c r="D130" s="398"/>
      <c r="E130" s="404"/>
      <c r="F130" s="388"/>
      <c r="G130" s="101"/>
      <c r="H130" s="101"/>
      <c r="I130" s="101"/>
      <c r="J130" s="487"/>
      <c r="K130" s="101"/>
      <c r="L130" s="101"/>
      <c r="M130" s="101"/>
      <c r="N130" s="101"/>
      <c r="O130" s="487"/>
      <c r="P130" s="101"/>
      <c r="Q130" s="101"/>
      <c r="R130" s="101"/>
      <c r="S130" s="101"/>
      <c r="T130" s="487"/>
      <c r="U130" s="101"/>
      <c r="V130" s="101"/>
      <c r="W130" s="101"/>
      <c r="X130" s="101"/>
      <c r="Y130" s="487"/>
      <c r="Z130" s="101"/>
      <c r="AA130" s="101"/>
      <c r="AB130" s="101"/>
      <c r="AC130" s="101"/>
      <c r="AD130" s="487"/>
      <c r="AE130" s="101"/>
      <c r="AF130" s="101"/>
      <c r="AG130" s="101"/>
      <c r="AH130" s="101"/>
      <c r="AI130" s="487"/>
      <c r="AJ130" s="101"/>
      <c r="AK130" s="101"/>
      <c r="AL130" s="101"/>
      <c r="AM130" s="101"/>
      <c r="AN130" s="487"/>
      <c r="AO130" s="101"/>
      <c r="AP130" s="101"/>
      <c r="AQ130" s="101"/>
      <c r="AR130" s="101"/>
      <c r="AS130" s="487"/>
      <c r="AT130" s="101"/>
      <c r="AU130" s="101"/>
      <c r="AV130" s="101"/>
      <c r="AW130" s="101"/>
      <c r="AX130" s="487"/>
      <c r="AY130" s="101"/>
      <c r="AZ130" s="101"/>
      <c r="BA130" s="101"/>
      <c r="BB130" s="101"/>
      <c r="BC130" s="487"/>
      <c r="BD130" s="101"/>
      <c r="BE130" s="101"/>
      <c r="BF130" s="101"/>
      <c r="BG130" s="101"/>
      <c r="BH130" s="487"/>
      <c r="BI130" s="101"/>
      <c r="BJ130" s="101"/>
      <c r="BK130" s="101"/>
      <c r="BL130" s="101"/>
      <c r="BM130" s="487"/>
      <c r="BN130" s="101"/>
      <c r="BO130" s="101"/>
      <c r="BP130" s="101"/>
      <c r="BQ130" s="101"/>
      <c r="BR130" s="487"/>
      <c r="BS130" s="101"/>
      <c r="BT130" s="101"/>
      <c r="BU130" s="101"/>
      <c r="BV130" s="101"/>
      <c r="BW130" s="398"/>
    </row>
    <row r="131" spans="1:75" x14ac:dyDescent="0.3">
      <c r="A131" s="388"/>
      <c r="B131" s="388"/>
      <c r="C131" s="388"/>
      <c r="D131" s="398" t="s">
        <v>502</v>
      </c>
      <c r="E131" s="404"/>
      <c r="F131" s="388"/>
      <c r="G131" s="101">
        <f>SUM(G132:G133)</f>
        <v>778000</v>
      </c>
      <c r="H131" s="101"/>
      <c r="I131" s="101"/>
      <c r="J131" s="487"/>
      <c r="K131" s="101"/>
      <c r="L131" s="101">
        <f>SUM(L132:L133)</f>
        <v>777665</v>
      </c>
      <c r="M131" s="101"/>
      <c r="N131" s="101"/>
      <c r="O131" s="487"/>
      <c r="P131" s="101"/>
      <c r="Q131" s="101">
        <f>SUM(Q132:Q133)</f>
        <v>0</v>
      </c>
      <c r="R131" s="101"/>
      <c r="S131" s="101"/>
      <c r="T131" s="487"/>
      <c r="U131" s="101"/>
      <c r="V131" s="101">
        <f>SUM(V132:V133)</f>
        <v>0</v>
      </c>
      <c r="W131" s="101"/>
      <c r="X131" s="101"/>
      <c r="Y131" s="487"/>
      <c r="Z131" s="101"/>
      <c r="AA131" s="101">
        <f>SUM(AA132:AA133)</f>
        <v>0</v>
      </c>
      <c r="AB131" s="101"/>
      <c r="AC131" s="101"/>
      <c r="AD131" s="487"/>
      <c r="AE131" s="101"/>
      <c r="AF131" s="101">
        <f>SUM(AF132:AF133)</f>
        <v>0</v>
      </c>
      <c r="AG131" s="101"/>
      <c r="AH131" s="101"/>
      <c r="AI131" s="487"/>
      <c r="AJ131" s="101"/>
      <c r="AK131" s="101">
        <f>SUM(AK132:AK133)</f>
        <v>0</v>
      </c>
      <c r="AL131" s="101"/>
      <c r="AM131" s="101"/>
      <c r="AN131" s="487"/>
      <c r="AO131" s="101"/>
      <c r="AP131" s="101">
        <f>SUM(AP132:AP133)</f>
        <v>0</v>
      </c>
      <c r="AQ131" s="101"/>
      <c r="AR131" s="101"/>
      <c r="AS131" s="487"/>
      <c r="AT131" s="101"/>
      <c r="AU131" s="101">
        <f>SUM(AU132:AU133)</f>
        <v>0</v>
      </c>
      <c r="AV131" s="101"/>
      <c r="AW131" s="101"/>
      <c r="AX131" s="487"/>
      <c r="AY131" s="101"/>
      <c r="AZ131" s="101">
        <f>SUM(AZ132:AZ133)</f>
        <v>0</v>
      </c>
      <c r="BA131" s="101"/>
      <c r="BB131" s="101"/>
      <c r="BC131" s="487"/>
      <c r="BD131" s="101"/>
      <c r="BE131" s="101">
        <f>SUM(BE132:BE133)</f>
        <v>0</v>
      </c>
      <c r="BF131" s="101"/>
      <c r="BG131" s="101"/>
      <c r="BH131" s="487"/>
      <c r="BI131" s="101"/>
      <c r="BJ131" s="101">
        <f>SUM(BJ132:BJ133)</f>
        <v>0</v>
      </c>
      <c r="BK131" s="101"/>
      <c r="BL131" s="101"/>
      <c r="BM131" s="487"/>
      <c r="BN131" s="101"/>
      <c r="BO131" s="101">
        <f>SUM(BO132:BO133)</f>
        <v>0</v>
      </c>
      <c r="BP131" s="101"/>
      <c r="BQ131" s="101"/>
      <c r="BR131" s="487"/>
      <c r="BS131" s="101"/>
      <c r="BT131" s="101">
        <f>SUM(BT132:BT133)</f>
        <v>777665</v>
      </c>
      <c r="BU131" s="101"/>
      <c r="BV131" s="101"/>
      <c r="BW131" s="398"/>
    </row>
    <row r="132" spans="1:75" x14ac:dyDescent="0.3">
      <c r="A132" s="388"/>
      <c r="B132" s="388"/>
      <c r="C132" s="388"/>
      <c r="D132" s="398" t="s">
        <v>495</v>
      </c>
      <c r="E132" s="404"/>
      <c r="F132" s="412"/>
      <c r="G132" s="485">
        <v>392000</v>
      </c>
      <c r="H132" s="486"/>
      <c r="I132" s="101"/>
      <c r="J132" s="487"/>
      <c r="K132" s="488"/>
      <c r="L132" s="485">
        <v>391647</v>
      </c>
      <c r="M132" s="486"/>
      <c r="N132" s="101"/>
      <c r="O132" s="487"/>
      <c r="P132" s="488"/>
      <c r="Q132" s="485">
        <v>0</v>
      </c>
      <c r="R132" s="486"/>
      <c r="S132" s="101"/>
      <c r="T132" s="487"/>
      <c r="U132" s="488"/>
      <c r="V132" s="485">
        <v>0</v>
      </c>
      <c r="W132" s="486"/>
      <c r="X132" s="101"/>
      <c r="Y132" s="487"/>
      <c r="Z132" s="488"/>
      <c r="AA132" s="485">
        <v>0</v>
      </c>
      <c r="AB132" s="486"/>
      <c r="AC132" s="101"/>
      <c r="AD132" s="487"/>
      <c r="AE132" s="488"/>
      <c r="AF132" s="485">
        <v>0</v>
      </c>
      <c r="AG132" s="486"/>
      <c r="AH132" s="101"/>
      <c r="AI132" s="487"/>
      <c r="AJ132" s="488"/>
      <c r="AK132" s="485">
        <v>0</v>
      </c>
      <c r="AL132" s="486"/>
      <c r="AM132" s="101"/>
      <c r="AN132" s="487"/>
      <c r="AO132" s="488"/>
      <c r="AP132" s="485">
        <v>0</v>
      </c>
      <c r="AQ132" s="486"/>
      <c r="AR132" s="101"/>
      <c r="AS132" s="487"/>
      <c r="AT132" s="488"/>
      <c r="AU132" s="485">
        <v>0</v>
      </c>
      <c r="AV132" s="486"/>
      <c r="AW132" s="101"/>
      <c r="AX132" s="487"/>
      <c r="AY132" s="488"/>
      <c r="AZ132" s="485">
        <v>0</v>
      </c>
      <c r="BA132" s="486"/>
      <c r="BB132" s="101"/>
      <c r="BC132" s="487"/>
      <c r="BD132" s="488"/>
      <c r="BE132" s="485">
        <v>0</v>
      </c>
      <c r="BF132" s="486"/>
      <c r="BG132" s="101"/>
      <c r="BH132" s="487"/>
      <c r="BI132" s="488"/>
      <c r="BJ132" s="485">
        <v>0</v>
      </c>
      <c r="BK132" s="486"/>
      <c r="BL132" s="101"/>
      <c r="BM132" s="487"/>
      <c r="BN132" s="488"/>
      <c r="BO132" s="485">
        <v>0</v>
      </c>
      <c r="BP132" s="486"/>
      <c r="BQ132" s="101"/>
      <c r="BR132" s="487"/>
      <c r="BS132" s="488"/>
      <c r="BT132" s="485">
        <f>SUM(L132:BO132)</f>
        <v>391647</v>
      </c>
      <c r="BU132" s="486"/>
      <c r="BV132" s="101"/>
      <c r="BW132" s="398"/>
    </row>
    <row r="133" spans="1:75" x14ac:dyDescent="0.3">
      <c r="A133" s="388"/>
      <c r="B133" s="388"/>
      <c r="C133" s="388"/>
      <c r="D133" s="398" t="s">
        <v>496</v>
      </c>
      <c r="E133" s="404"/>
      <c r="F133" s="427"/>
      <c r="G133" s="496">
        <v>386000</v>
      </c>
      <c r="H133" s="90"/>
      <c r="I133" s="101"/>
      <c r="J133" s="487"/>
      <c r="K133" s="497"/>
      <c r="L133" s="496">
        <v>386018</v>
      </c>
      <c r="M133" s="90"/>
      <c r="N133" s="101"/>
      <c r="O133" s="487"/>
      <c r="P133" s="497"/>
      <c r="Q133" s="496">
        <v>0</v>
      </c>
      <c r="R133" s="90"/>
      <c r="S133" s="101"/>
      <c r="T133" s="487"/>
      <c r="U133" s="497"/>
      <c r="V133" s="496">
        <v>0</v>
      </c>
      <c r="W133" s="90"/>
      <c r="X133" s="101"/>
      <c r="Y133" s="487"/>
      <c r="Z133" s="497"/>
      <c r="AA133" s="496">
        <v>0</v>
      </c>
      <c r="AB133" s="90"/>
      <c r="AC133" s="101"/>
      <c r="AD133" s="487"/>
      <c r="AE133" s="497"/>
      <c r="AF133" s="496">
        <v>0</v>
      </c>
      <c r="AG133" s="90"/>
      <c r="AH133" s="101"/>
      <c r="AI133" s="487"/>
      <c r="AJ133" s="497"/>
      <c r="AK133" s="496">
        <v>0</v>
      </c>
      <c r="AL133" s="90"/>
      <c r="AM133" s="101"/>
      <c r="AN133" s="487"/>
      <c r="AO133" s="497"/>
      <c r="AP133" s="496">
        <v>0</v>
      </c>
      <c r="AQ133" s="90"/>
      <c r="AR133" s="101"/>
      <c r="AS133" s="487"/>
      <c r="AT133" s="497"/>
      <c r="AU133" s="496">
        <v>0</v>
      </c>
      <c r="AV133" s="90"/>
      <c r="AW133" s="101"/>
      <c r="AX133" s="487"/>
      <c r="AY133" s="497"/>
      <c r="AZ133" s="496">
        <v>0</v>
      </c>
      <c r="BA133" s="90"/>
      <c r="BB133" s="101"/>
      <c r="BC133" s="487"/>
      <c r="BD133" s="497"/>
      <c r="BE133" s="496">
        <v>0</v>
      </c>
      <c r="BF133" s="90"/>
      <c r="BG133" s="101"/>
      <c r="BH133" s="487"/>
      <c r="BI133" s="497"/>
      <c r="BJ133" s="496">
        <v>0</v>
      </c>
      <c r="BK133" s="90"/>
      <c r="BL133" s="101"/>
      <c r="BM133" s="487"/>
      <c r="BN133" s="497"/>
      <c r="BO133" s="496">
        <v>0</v>
      </c>
      <c r="BP133" s="90"/>
      <c r="BQ133" s="101"/>
      <c r="BR133" s="487"/>
      <c r="BS133" s="497"/>
      <c r="BT133" s="496">
        <f>SUM(L133:BO133)</f>
        <v>386018</v>
      </c>
      <c r="BU133" s="90"/>
      <c r="BV133" s="101"/>
      <c r="BW133" s="398"/>
    </row>
    <row r="134" spans="1:75" ht="12.75" customHeight="1" x14ac:dyDescent="0.3">
      <c r="A134" s="388"/>
      <c r="B134" s="388"/>
      <c r="C134" s="388"/>
      <c r="D134" s="398"/>
      <c r="E134" s="404"/>
      <c r="F134" s="388"/>
      <c r="G134" s="101"/>
      <c r="H134" s="101"/>
      <c r="I134" s="101"/>
      <c r="J134" s="487"/>
      <c r="K134" s="101"/>
      <c r="L134" s="101"/>
      <c r="M134" s="101"/>
      <c r="N134" s="101"/>
      <c r="O134" s="487"/>
      <c r="P134" s="101"/>
      <c r="Q134" s="101"/>
      <c r="R134" s="101"/>
      <c r="S134" s="101"/>
      <c r="T134" s="487"/>
      <c r="U134" s="101"/>
      <c r="V134" s="101"/>
      <c r="W134" s="101"/>
      <c r="X134" s="101"/>
      <c r="Y134" s="487"/>
      <c r="Z134" s="101"/>
      <c r="AA134" s="101"/>
      <c r="AB134" s="101"/>
      <c r="AC134" s="101"/>
      <c r="AD134" s="487"/>
      <c r="AE134" s="101"/>
      <c r="AF134" s="101"/>
      <c r="AG134" s="101"/>
      <c r="AH134" s="101"/>
      <c r="AI134" s="487"/>
      <c r="AJ134" s="101"/>
      <c r="AK134" s="101"/>
      <c r="AL134" s="101"/>
      <c r="AM134" s="101"/>
      <c r="AN134" s="487"/>
      <c r="AO134" s="101"/>
      <c r="AP134" s="101"/>
      <c r="AQ134" s="101"/>
      <c r="AR134" s="101"/>
      <c r="AS134" s="487"/>
      <c r="AT134" s="101"/>
      <c r="AU134" s="101"/>
      <c r="AV134" s="101"/>
      <c r="AW134" s="101"/>
      <c r="AX134" s="487"/>
      <c r="AY134" s="101"/>
      <c r="AZ134" s="101"/>
      <c r="BA134" s="101"/>
      <c r="BB134" s="101"/>
      <c r="BC134" s="487"/>
      <c r="BD134" s="101"/>
      <c r="BE134" s="101"/>
      <c r="BF134" s="101"/>
      <c r="BG134" s="101"/>
      <c r="BH134" s="487"/>
      <c r="BI134" s="101"/>
      <c r="BJ134" s="101"/>
      <c r="BK134" s="101"/>
      <c r="BL134" s="101"/>
      <c r="BM134" s="487"/>
      <c r="BN134" s="101"/>
      <c r="BO134" s="101"/>
      <c r="BP134" s="101"/>
      <c r="BQ134" s="101"/>
      <c r="BR134" s="487"/>
      <c r="BS134" s="101"/>
      <c r="BT134" s="101"/>
      <c r="BU134" s="101"/>
      <c r="BV134" s="101"/>
      <c r="BW134" s="398"/>
    </row>
    <row r="135" spans="1:75" ht="12.75" customHeight="1" x14ac:dyDescent="0.3">
      <c r="A135" s="388"/>
      <c r="B135" s="388"/>
      <c r="C135" s="388"/>
      <c r="D135" s="398" t="s">
        <v>503</v>
      </c>
      <c r="E135" s="404"/>
      <c r="F135" s="388"/>
      <c r="G135" s="101">
        <f>SUM(G136:G137)</f>
        <v>4924000</v>
      </c>
      <c r="H135" s="101"/>
      <c r="I135" s="101"/>
      <c r="J135" s="487"/>
      <c r="K135" s="101"/>
      <c r="L135" s="101">
        <f>SUM(L136:L137)</f>
        <v>0</v>
      </c>
      <c r="M135" s="101"/>
      <c r="N135" s="101"/>
      <c r="O135" s="487"/>
      <c r="P135" s="101"/>
      <c r="Q135" s="101">
        <f>SUM(Q136:Q137)</f>
        <v>4923900</v>
      </c>
      <c r="R135" s="101"/>
      <c r="S135" s="101"/>
      <c r="T135" s="487"/>
      <c r="U135" s="101"/>
      <c r="V135" s="101">
        <f>SUM(V136:V137)</f>
        <v>0</v>
      </c>
      <c r="W135" s="101"/>
      <c r="X135" s="101"/>
      <c r="Y135" s="487"/>
      <c r="Z135" s="101"/>
      <c r="AA135" s="101">
        <f>SUM(AA136:AA137)</f>
        <v>0</v>
      </c>
      <c r="AB135" s="101"/>
      <c r="AC135" s="101"/>
      <c r="AD135" s="487"/>
      <c r="AE135" s="101"/>
      <c r="AF135" s="101">
        <f>SUM(AF136:AF137)</f>
        <v>0</v>
      </c>
      <c r="AG135" s="101"/>
      <c r="AH135" s="101"/>
      <c r="AI135" s="487"/>
      <c r="AJ135" s="101"/>
      <c r="AK135" s="101">
        <f>SUM(AK136:AK137)</f>
        <v>0</v>
      </c>
      <c r="AL135" s="101"/>
      <c r="AM135" s="101"/>
      <c r="AN135" s="487"/>
      <c r="AO135" s="101"/>
      <c r="AP135" s="101">
        <f>SUM(AP136:AP137)</f>
        <v>0</v>
      </c>
      <c r="AQ135" s="101"/>
      <c r="AR135" s="101"/>
      <c r="AS135" s="487"/>
      <c r="AT135" s="101"/>
      <c r="AU135" s="101">
        <f>SUM(AU136:AU137)</f>
        <v>0</v>
      </c>
      <c r="AV135" s="101"/>
      <c r="AW135" s="101"/>
      <c r="AX135" s="487"/>
      <c r="AY135" s="101"/>
      <c r="AZ135" s="101">
        <f>SUM(AZ136:AZ137)</f>
        <v>0</v>
      </c>
      <c r="BA135" s="101"/>
      <c r="BB135" s="101"/>
      <c r="BC135" s="487"/>
      <c r="BD135" s="101"/>
      <c r="BE135" s="101">
        <f>SUM(BE136:BE137)</f>
        <v>0</v>
      </c>
      <c r="BF135" s="101"/>
      <c r="BG135" s="101"/>
      <c r="BH135" s="487"/>
      <c r="BI135" s="101"/>
      <c r="BJ135" s="101">
        <f>SUM(BJ136:BJ137)</f>
        <v>0</v>
      </c>
      <c r="BK135" s="101"/>
      <c r="BL135" s="101"/>
      <c r="BM135" s="487"/>
      <c r="BN135" s="101"/>
      <c r="BO135" s="101">
        <f>SUM(BO136:BO137)</f>
        <v>0</v>
      </c>
      <c r="BP135" s="101"/>
      <c r="BQ135" s="101"/>
      <c r="BR135" s="487"/>
      <c r="BS135" s="101"/>
      <c r="BT135" s="101">
        <f>SUM(BT136:BT137)</f>
        <v>4923900</v>
      </c>
      <c r="BU135" s="101"/>
      <c r="BV135" s="101"/>
      <c r="BW135" s="398"/>
    </row>
    <row r="136" spans="1:75" ht="12.75" customHeight="1" x14ac:dyDescent="0.3">
      <c r="A136" s="388"/>
      <c r="B136" s="388"/>
      <c r="C136" s="388"/>
      <c r="D136" s="398" t="s">
        <v>495</v>
      </c>
      <c r="E136" s="404"/>
      <c r="F136" s="412"/>
      <c r="G136" s="485">
        <v>1961000</v>
      </c>
      <c r="H136" s="486"/>
      <c r="I136" s="101"/>
      <c r="J136" s="487"/>
      <c r="K136" s="412"/>
      <c r="L136" s="485">
        <v>0</v>
      </c>
      <c r="M136" s="486"/>
      <c r="N136" s="101"/>
      <c r="O136" s="487"/>
      <c r="P136" s="412"/>
      <c r="Q136" s="485">
        <v>1960784</v>
      </c>
      <c r="R136" s="486"/>
      <c r="S136" s="101"/>
      <c r="T136" s="487"/>
      <c r="U136" s="412"/>
      <c r="V136" s="485">
        <v>0</v>
      </c>
      <c r="W136" s="486"/>
      <c r="X136" s="101"/>
      <c r="Y136" s="487"/>
      <c r="Z136" s="412"/>
      <c r="AA136" s="485">
        <v>0</v>
      </c>
      <c r="AB136" s="486"/>
      <c r="AC136" s="101"/>
      <c r="AD136" s="487"/>
      <c r="AE136" s="412"/>
      <c r="AF136" s="485">
        <v>0</v>
      </c>
      <c r="AG136" s="486"/>
      <c r="AH136" s="101"/>
      <c r="AI136" s="487"/>
      <c r="AJ136" s="412"/>
      <c r="AK136" s="485">
        <v>0</v>
      </c>
      <c r="AL136" s="486"/>
      <c r="AM136" s="101"/>
      <c r="AN136" s="487"/>
      <c r="AO136" s="412"/>
      <c r="AP136" s="485">
        <v>0</v>
      </c>
      <c r="AQ136" s="486"/>
      <c r="AR136" s="101"/>
      <c r="AS136" s="487"/>
      <c r="AT136" s="412"/>
      <c r="AU136" s="485">
        <v>0</v>
      </c>
      <c r="AV136" s="486"/>
      <c r="AW136" s="101"/>
      <c r="AX136" s="487"/>
      <c r="AY136" s="412"/>
      <c r="AZ136" s="485">
        <v>0</v>
      </c>
      <c r="BA136" s="486"/>
      <c r="BB136" s="101"/>
      <c r="BC136" s="487"/>
      <c r="BD136" s="412"/>
      <c r="BE136" s="485">
        <v>0</v>
      </c>
      <c r="BF136" s="486"/>
      <c r="BG136" s="101"/>
      <c r="BH136" s="487"/>
      <c r="BI136" s="412"/>
      <c r="BJ136" s="485">
        <v>0</v>
      </c>
      <c r="BK136" s="486"/>
      <c r="BL136" s="101"/>
      <c r="BM136" s="487"/>
      <c r="BN136" s="412"/>
      <c r="BO136" s="485">
        <v>0</v>
      </c>
      <c r="BP136" s="486"/>
      <c r="BQ136" s="101"/>
      <c r="BR136" s="487"/>
      <c r="BS136" s="412"/>
      <c r="BT136" s="485">
        <f>SUM(L136:BO136)</f>
        <v>1960784</v>
      </c>
      <c r="BU136" s="486"/>
      <c r="BV136" s="101"/>
      <c r="BW136" s="398"/>
    </row>
    <row r="137" spans="1:75" ht="12.75" customHeight="1" x14ac:dyDescent="0.3">
      <c r="A137" s="388"/>
      <c r="B137" s="388"/>
      <c r="C137" s="388"/>
      <c r="D137" s="398" t="s">
        <v>496</v>
      </c>
      <c r="E137" s="404"/>
      <c r="F137" s="427"/>
      <c r="G137" s="496">
        <v>2963000</v>
      </c>
      <c r="H137" s="90"/>
      <c r="I137" s="101"/>
      <c r="J137" s="487"/>
      <c r="K137" s="427"/>
      <c r="L137" s="496">
        <v>0</v>
      </c>
      <c r="M137" s="90"/>
      <c r="N137" s="101"/>
      <c r="O137" s="487"/>
      <c r="P137" s="427"/>
      <c r="Q137" s="496">
        <v>2963116</v>
      </c>
      <c r="R137" s="90"/>
      <c r="S137" s="101"/>
      <c r="T137" s="487"/>
      <c r="U137" s="427"/>
      <c r="V137" s="496">
        <v>0</v>
      </c>
      <c r="W137" s="90"/>
      <c r="X137" s="101"/>
      <c r="Y137" s="487"/>
      <c r="Z137" s="427"/>
      <c r="AA137" s="496">
        <v>0</v>
      </c>
      <c r="AB137" s="90"/>
      <c r="AC137" s="101"/>
      <c r="AD137" s="487"/>
      <c r="AE137" s="427"/>
      <c r="AF137" s="496">
        <v>0</v>
      </c>
      <c r="AG137" s="90"/>
      <c r="AH137" s="101"/>
      <c r="AI137" s="487"/>
      <c r="AJ137" s="427"/>
      <c r="AK137" s="496">
        <v>0</v>
      </c>
      <c r="AL137" s="90"/>
      <c r="AM137" s="101"/>
      <c r="AN137" s="487"/>
      <c r="AO137" s="427"/>
      <c r="AP137" s="496">
        <v>0</v>
      </c>
      <c r="AQ137" s="90"/>
      <c r="AR137" s="101"/>
      <c r="AS137" s="487"/>
      <c r="AT137" s="427"/>
      <c r="AU137" s="496">
        <v>0</v>
      </c>
      <c r="AV137" s="90"/>
      <c r="AW137" s="101"/>
      <c r="AX137" s="487"/>
      <c r="AY137" s="427"/>
      <c r="AZ137" s="496">
        <v>0</v>
      </c>
      <c r="BA137" s="90"/>
      <c r="BB137" s="101"/>
      <c r="BC137" s="487"/>
      <c r="BD137" s="427"/>
      <c r="BE137" s="496">
        <v>0</v>
      </c>
      <c r="BF137" s="90"/>
      <c r="BG137" s="101"/>
      <c r="BH137" s="487"/>
      <c r="BI137" s="427"/>
      <c r="BJ137" s="496">
        <v>0</v>
      </c>
      <c r="BK137" s="90"/>
      <c r="BL137" s="101"/>
      <c r="BM137" s="487"/>
      <c r="BN137" s="427"/>
      <c r="BO137" s="496">
        <v>0</v>
      </c>
      <c r="BP137" s="90"/>
      <c r="BQ137" s="101"/>
      <c r="BR137" s="487"/>
      <c r="BS137" s="427"/>
      <c r="BT137" s="496">
        <f>SUM(L137:BO137)</f>
        <v>2963116</v>
      </c>
      <c r="BU137" s="90"/>
      <c r="BV137" s="101"/>
      <c r="BW137" s="398"/>
    </row>
    <row r="138" spans="1:75" x14ac:dyDescent="0.3">
      <c r="A138" s="388"/>
      <c r="B138" s="388"/>
      <c r="C138" s="388"/>
      <c r="D138" s="398"/>
      <c r="E138" s="404"/>
      <c r="F138" s="388"/>
      <c r="G138" s="101"/>
      <c r="H138" s="101"/>
      <c r="I138" s="101"/>
      <c r="J138" s="487"/>
      <c r="K138" s="101"/>
      <c r="L138" s="101"/>
      <c r="M138" s="101"/>
      <c r="N138" s="101"/>
      <c r="O138" s="487"/>
      <c r="P138" s="101"/>
      <c r="Q138" s="101"/>
      <c r="R138" s="101"/>
      <c r="S138" s="101"/>
      <c r="T138" s="487"/>
      <c r="U138" s="101"/>
      <c r="V138" s="101"/>
      <c r="W138" s="101"/>
      <c r="X138" s="101"/>
      <c r="Y138" s="487"/>
      <c r="Z138" s="101"/>
      <c r="AA138" s="101"/>
      <c r="AB138" s="101"/>
      <c r="AC138" s="101"/>
      <c r="AD138" s="487"/>
      <c r="AE138" s="101"/>
      <c r="AF138" s="101"/>
      <c r="AG138" s="101"/>
      <c r="AH138" s="101"/>
      <c r="AI138" s="487"/>
      <c r="AJ138" s="101"/>
      <c r="AK138" s="101"/>
      <c r="AL138" s="101"/>
      <c r="AM138" s="101"/>
      <c r="AN138" s="487"/>
      <c r="AO138" s="101"/>
      <c r="AP138" s="101"/>
      <c r="AQ138" s="101"/>
      <c r="AR138" s="101"/>
      <c r="AS138" s="487"/>
      <c r="AT138" s="101"/>
      <c r="AU138" s="101"/>
      <c r="AV138" s="101"/>
      <c r="AW138" s="101"/>
      <c r="AX138" s="487"/>
      <c r="AY138" s="101"/>
      <c r="AZ138" s="101"/>
      <c r="BA138" s="101"/>
      <c r="BB138" s="101"/>
      <c r="BC138" s="487"/>
      <c r="BD138" s="101"/>
      <c r="BE138" s="101"/>
      <c r="BF138" s="101"/>
      <c r="BG138" s="101"/>
      <c r="BH138" s="487"/>
      <c r="BI138" s="101"/>
      <c r="BJ138" s="101"/>
      <c r="BK138" s="101"/>
      <c r="BL138" s="101"/>
      <c r="BM138" s="487"/>
      <c r="BN138" s="101"/>
      <c r="BO138" s="101"/>
      <c r="BP138" s="101"/>
      <c r="BQ138" s="101"/>
      <c r="BR138" s="487"/>
      <c r="BS138" s="101"/>
      <c r="BT138" s="101"/>
      <c r="BU138" s="101"/>
      <c r="BV138" s="101"/>
      <c r="BW138" s="398"/>
    </row>
    <row r="139" spans="1:75" x14ac:dyDescent="0.3">
      <c r="A139" s="388"/>
      <c r="B139" s="388"/>
      <c r="C139" s="388"/>
      <c r="D139" s="398" t="s">
        <v>504</v>
      </c>
      <c r="E139" s="404"/>
      <c r="F139" s="388"/>
      <c r="G139" s="101">
        <f>SUM(G140:G141)</f>
        <v>8700000</v>
      </c>
      <c r="H139" s="101"/>
      <c r="I139" s="101"/>
      <c r="J139" s="487"/>
      <c r="K139" s="101"/>
      <c r="L139" s="101">
        <f>SUM(L140:L141)</f>
        <v>0</v>
      </c>
      <c r="M139" s="101"/>
      <c r="N139" s="101"/>
      <c r="O139" s="487"/>
      <c r="P139" s="101"/>
      <c r="Q139" s="101">
        <f>SUM(Q140:Q141)</f>
        <v>0</v>
      </c>
      <c r="R139" s="101"/>
      <c r="S139" s="101"/>
      <c r="T139" s="487"/>
      <c r="U139" s="101"/>
      <c r="V139" s="101">
        <f>SUM(V140:V141)</f>
        <v>8699700</v>
      </c>
      <c r="W139" s="101"/>
      <c r="X139" s="101"/>
      <c r="Y139" s="487"/>
      <c r="Z139" s="101"/>
      <c r="AA139" s="101">
        <f>SUM(AA140:AA141)</f>
        <v>0</v>
      </c>
      <c r="AB139" s="101"/>
      <c r="AC139" s="101"/>
      <c r="AD139" s="487"/>
      <c r="AE139" s="101"/>
      <c r="AF139" s="101">
        <f>SUM(AF140:AF141)</f>
        <v>0</v>
      </c>
      <c r="AG139" s="101"/>
      <c r="AH139" s="101"/>
      <c r="AI139" s="487"/>
      <c r="AJ139" s="101"/>
      <c r="AK139" s="101">
        <f>SUM(AK140:AK141)</f>
        <v>0</v>
      </c>
      <c r="AL139" s="101"/>
      <c r="AM139" s="101"/>
      <c r="AN139" s="487"/>
      <c r="AO139" s="101"/>
      <c r="AP139" s="101">
        <f>SUM(AP140:AP141)</f>
        <v>0</v>
      </c>
      <c r="AQ139" s="101"/>
      <c r="AR139" s="101"/>
      <c r="AS139" s="487"/>
      <c r="AT139" s="101"/>
      <c r="AU139" s="101">
        <f>SUM(AU140:AU141)</f>
        <v>0</v>
      </c>
      <c r="AV139" s="101"/>
      <c r="AW139" s="101"/>
      <c r="AX139" s="487"/>
      <c r="AY139" s="101"/>
      <c r="AZ139" s="101">
        <f>SUM(AZ140:AZ141)</f>
        <v>0</v>
      </c>
      <c r="BA139" s="101"/>
      <c r="BB139" s="101"/>
      <c r="BC139" s="487"/>
      <c r="BD139" s="101"/>
      <c r="BE139" s="101">
        <f>SUM(BE140:BE141)</f>
        <v>0</v>
      </c>
      <c r="BF139" s="101"/>
      <c r="BG139" s="101"/>
      <c r="BH139" s="487"/>
      <c r="BI139" s="101"/>
      <c r="BJ139" s="101">
        <f>SUM(BJ140:BJ141)</f>
        <v>0</v>
      </c>
      <c r="BK139" s="101"/>
      <c r="BL139" s="101"/>
      <c r="BM139" s="487"/>
      <c r="BN139" s="101"/>
      <c r="BO139" s="101">
        <f>SUM(BO140:BO141)</f>
        <v>0</v>
      </c>
      <c r="BP139" s="101"/>
      <c r="BQ139" s="101"/>
      <c r="BR139" s="487"/>
      <c r="BS139" s="101"/>
      <c r="BT139" s="101">
        <f>SUM(BT140:BT141)</f>
        <v>8699700</v>
      </c>
      <c r="BU139" s="101"/>
      <c r="BV139" s="101"/>
      <c r="BW139" s="398"/>
    </row>
    <row r="140" spans="1:75" x14ac:dyDescent="0.3">
      <c r="A140" s="388"/>
      <c r="B140" s="388"/>
      <c r="C140" s="388"/>
      <c r="D140" s="398" t="s">
        <v>495</v>
      </c>
      <c r="E140" s="404"/>
      <c r="F140" s="412"/>
      <c r="G140" s="485">
        <v>5604000</v>
      </c>
      <c r="H140" s="486"/>
      <c r="I140" s="101"/>
      <c r="J140" s="487"/>
      <c r="K140" s="412"/>
      <c r="L140" s="485">
        <v>0</v>
      </c>
      <c r="M140" s="486"/>
      <c r="N140" s="101"/>
      <c r="O140" s="487"/>
      <c r="P140" s="412"/>
      <c r="Q140" s="485">
        <v>0</v>
      </c>
      <c r="R140" s="486"/>
      <c r="S140" s="101"/>
      <c r="T140" s="487"/>
      <c r="U140" s="412"/>
      <c r="V140" s="485">
        <v>5604275</v>
      </c>
      <c r="W140" s="486"/>
      <c r="X140" s="101"/>
      <c r="Y140" s="487"/>
      <c r="Z140" s="412"/>
      <c r="AA140" s="485">
        <v>0</v>
      </c>
      <c r="AB140" s="486"/>
      <c r="AC140" s="101"/>
      <c r="AD140" s="487"/>
      <c r="AE140" s="412"/>
      <c r="AF140" s="485">
        <v>0</v>
      </c>
      <c r="AG140" s="486"/>
      <c r="AH140" s="101"/>
      <c r="AI140" s="487"/>
      <c r="AJ140" s="412"/>
      <c r="AK140" s="485">
        <v>0</v>
      </c>
      <c r="AL140" s="486"/>
      <c r="AM140" s="101"/>
      <c r="AN140" s="487"/>
      <c r="AO140" s="412"/>
      <c r="AP140" s="485">
        <v>0</v>
      </c>
      <c r="AQ140" s="486"/>
      <c r="AR140" s="101"/>
      <c r="AS140" s="487"/>
      <c r="AT140" s="412"/>
      <c r="AU140" s="485">
        <v>0</v>
      </c>
      <c r="AV140" s="486"/>
      <c r="AW140" s="101"/>
      <c r="AX140" s="487"/>
      <c r="AY140" s="412"/>
      <c r="AZ140" s="485">
        <v>0</v>
      </c>
      <c r="BA140" s="486"/>
      <c r="BB140" s="101"/>
      <c r="BC140" s="487"/>
      <c r="BD140" s="412"/>
      <c r="BE140" s="485">
        <v>0</v>
      </c>
      <c r="BF140" s="486"/>
      <c r="BG140" s="101"/>
      <c r="BH140" s="487"/>
      <c r="BI140" s="412"/>
      <c r="BJ140" s="485">
        <v>0</v>
      </c>
      <c r="BK140" s="486"/>
      <c r="BL140" s="101"/>
      <c r="BM140" s="487"/>
      <c r="BN140" s="412"/>
      <c r="BO140" s="485">
        <v>0</v>
      </c>
      <c r="BP140" s="486"/>
      <c r="BQ140" s="101"/>
      <c r="BR140" s="487"/>
      <c r="BS140" s="412"/>
      <c r="BT140" s="485">
        <f>SUM(L140:BO140)</f>
        <v>5604275</v>
      </c>
      <c r="BU140" s="486"/>
      <c r="BV140" s="101"/>
      <c r="BW140" s="398"/>
    </row>
    <row r="141" spans="1:75" x14ac:dyDescent="0.3">
      <c r="A141" s="388"/>
      <c r="B141" s="388"/>
      <c r="C141" s="388"/>
      <c r="D141" s="398" t="s">
        <v>496</v>
      </c>
      <c r="E141" s="404"/>
      <c r="F141" s="427"/>
      <c r="G141" s="496">
        <v>3096000</v>
      </c>
      <c r="H141" s="90"/>
      <c r="I141" s="101"/>
      <c r="J141" s="487"/>
      <c r="K141" s="427"/>
      <c r="L141" s="496">
        <v>0</v>
      </c>
      <c r="M141" s="90"/>
      <c r="N141" s="101"/>
      <c r="O141" s="487"/>
      <c r="P141" s="427"/>
      <c r="Q141" s="496">
        <v>0</v>
      </c>
      <c r="R141" s="90"/>
      <c r="S141" s="101"/>
      <c r="T141" s="487"/>
      <c r="U141" s="427"/>
      <c r="V141" s="496">
        <v>3095425</v>
      </c>
      <c r="W141" s="90"/>
      <c r="X141" s="101"/>
      <c r="Y141" s="487"/>
      <c r="Z141" s="427"/>
      <c r="AA141" s="496">
        <v>0</v>
      </c>
      <c r="AB141" s="90"/>
      <c r="AC141" s="101"/>
      <c r="AD141" s="487"/>
      <c r="AE141" s="427"/>
      <c r="AF141" s="496">
        <v>0</v>
      </c>
      <c r="AG141" s="90"/>
      <c r="AH141" s="101"/>
      <c r="AI141" s="487"/>
      <c r="AJ141" s="427"/>
      <c r="AK141" s="496">
        <v>0</v>
      </c>
      <c r="AL141" s="90"/>
      <c r="AM141" s="101"/>
      <c r="AN141" s="487"/>
      <c r="AO141" s="427"/>
      <c r="AP141" s="496">
        <v>0</v>
      </c>
      <c r="AQ141" s="90"/>
      <c r="AR141" s="101"/>
      <c r="AS141" s="487"/>
      <c r="AT141" s="427"/>
      <c r="AU141" s="496">
        <v>0</v>
      </c>
      <c r="AV141" s="90"/>
      <c r="AW141" s="101"/>
      <c r="AX141" s="487"/>
      <c r="AY141" s="427"/>
      <c r="AZ141" s="496">
        <v>0</v>
      </c>
      <c r="BA141" s="90"/>
      <c r="BB141" s="101"/>
      <c r="BC141" s="487"/>
      <c r="BD141" s="427"/>
      <c r="BE141" s="496">
        <v>0</v>
      </c>
      <c r="BF141" s="90"/>
      <c r="BG141" s="101"/>
      <c r="BH141" s="487"/>
      <c r="BI141" s="427"/>
      <c r="BJ141" s="496">
        <v>0</v>
      </c>
      <c r="BK141" s="90"/>
      <c r="BL141" s="101"/>
      <c r="BM141" s="487"/>
      <c r="BN141" s="427"/>
      <c r="BO141" s="496">
        <v>0</v>
      </c>
      <c r="BP141" s="90"/>
      <c r="BQ141" s="101"/>
      <c r="BR141" s="487"/>
      <c r="BS141" s="427"/>
      <c r="BT141" s="496">
        <f>SUM(L141:BO141)</f>
        <v>3095425</v>
      </c>
      <c r="BU141" s="90"/>
      <c r="BV141" s="101"/>
      <c r="BW141" s="398"/>
    </row>
    <row r="142" spans="1:75" x14ac:dyDescent="0.3">
      <c r="A142" s="388"/>
      <c r="B142" s="388"/>
      <c r="C142" s="388"/>
      <c r="D142" s="398"/>
      <c r="E142" s="404"/>
      <c r="F142" s="388"/>
      <c r="G142" s="101"/>
      <c r="H142" s="101"/>
      <c r="I142" s="101"/>
      <c r="J142" s="487"/>
      <c r="K142" s="388"/>
      <c r="L142" s="101"/>
      <c r="M142" s="101"/>
      <c r="N142" s="101"/>
      <c r="O142" s="487"/>
      <c r="P142" s="388"/>
      <c r="Q142" s="101"/>
      <c r="R142" s="101"/>
      <c r="S142" s="101"/>
      <c r="T142" s="487"/>
      <c r="U142" s="388"/>
      <c r="V142" s="101"/>
      <c r="W142" s="101"/>
      <c r="X142" s="101"/>
      <c r="Y142" s="487"/>
      <c r="Z142" s="388"/>
      <c r="AA142" s="101"/>
      <c r="AB142" s="101"/>
      <c r="AC142" s="101"/>
      <c r="AD142" s="487"/>
      <c r="AE142" s="388"/>
      <c r="AF142" s="101"/>
      <c r="AG142" s="101"/>
      <c r="AH142" s="101"/>
      <c r="AI142" s="487"/>
      <c r="AJ142" s="388"/>
      <c r="AK142" s="101"/>
      <c r="AL142" s="101"/>
      <c r="AM142" s="101"/>
      <c r="AN142" s="487"/>
      <c r="AO142" s="388"/>
      <c r="AP142" s="101"/>
      <c r="AQ142" s="101"/>
      <c r="AR142" s="101"/>
      <c r="AS142" s="487"/>
      <c r="AT142" s="388"/>
      <c r="AU142" s="101"/>
      <c r="AV142" s="101"/>
      <c r="AW142" s="101"/>
      <c r="AX142" s="487"/>
      <c r="AY142" s="388"/>
      <c r="AZ142" s="101"/>
      <c r="BA142" s="101"/>
      <c r="BB142" s="101"/>
      <c r="BC142" s="487"/>
      <c r="BD142" s="388"/>
      <c r="BE142" s="101"/>
      <c r="BF142" s="101"/>
      <c r="BG142" s="101"/>
      <c r="BH142" s="487"/>
      <c r="BI142" s="388"/>
      <c r="BJ142" s="101"/>
      <c r="BK142" s="101"/>
      <c r="BL142" s="101"/>
      <c r="BM142" s="487"/>
      <c r="BN142" s="388"/>
      <c r="BO142" s="101"/>
      <c r="BP142" s="101"/>
      <c r="BQ142" s="101"/>
      <c r="BR142" s="487"/>
      <c r="BS142" s="388"/>
      <c r="BT142" s="101"/>
      <c r="BU142" s="101"/>
      <c r="BV142" s="101"/>
      <c r="BW142" s="398"/>
    </row>
    <row r="143" spans="1:75" x14ac:dyDescent="0.3">
      <c r="A143" s="388"/>
      <c r="B143" s="388"/>
      <c r="C143" s="388"/>
      <c r="D143" s="398" t="s">
        <v>505</v>
      </c>
      <c r="E143" s="404"/>
      <c r="F143" s="388"/>
      <c r="G143" s="101">
        <f>SUM(G144:G145)</f>
        <v>7000</v>
      </c>
      <c r="H143" s="101"/>
      <c r="I143" s="101"/>
      <c r="J143" s="487"/>
      <c r="K143" s="101"/>
      <c r="L143" s="101">
        <f>SUM(L144:L145)</f>
        <v>0</v>
      </c>
      <c r="M143" s="101"/>
      <c r="N143" s="101"/>
      <c r="O143" s="487"/>
      <c r="P143" s="101"/>
      <c r="Q143" s="101">
        <f>SUM(Q144:Q145)</f>
        <v>8086</v>
      </c>
      <c r="R143" s="101"/>
      <c r="S143" s="101"/>
      <c r="T143" s="487"/>
      <c r="U143" s="101"/>
      <c r="V143" s="101">
        <f>SUM(V144:V145)</f>
        <v>0</v>
      </c>
      <c r="W143" s="101"/>
      <c r="X143" s="101"/>
      <c r="Y143" s="487"/>
      <c r="Z143" s="101"/>
      <c r="AA143" s="101">
        <f>SUM(AA144:AA145)</f>
        <v>0</v>
      </c>
      <c r="AB143" s="101"/>
      <c r="AC143" s="101"/>
      <c r="AD143" s="487"/>
      <c r="AE143" s="101"/>
      <c r="AF143" s="101">
        <f>SUM(AF144:AF145)</f>
        <v>0</v>
      </c>
      <c r="AG143" s="101"/>
      <c r="AH143" s="101"/>
      <c r="AI143" s="487"/>
      <c r="AJ143" s="101"/>
      <c r="AK143" s="101">
        <f>SUM(AK144:AK145)</f>
        <v>0</v>
      </c>
      <c r="AL143" s="101"/>
      <c r="AM143" s="101"/>
      <c r="AN143" s="487"/>
      <c r="AO143" s="101"/>
      <c r="AP143" s="101">
        <f>SUM(AP144:AP145)</f>
        <v>0</v>
      </c>
      <c r="AQ143" s="101"/>
      <c r="AR143" s="101"/>
      <c r="AS143" s="487"/>
      <c r="AT143" s="101"/>
      <c r="AU143" s="101">
        <f>SUM(AU144:AU145)</f>
        <v>6967</v>
      </c>
      <c r="AV143" s="101"/>
      <c r="AW143" s="101"/>
      <c r="AX143" s="487"/>
      <c r="AY143" s="101"/>
      <c r="AZ143" s="101">
        <f>SUM(AZ144:AZ145)</f>
        <v>0</v>
      </c>
      <c r="BA143" s="101"/>
      <c r="BB143" s="101"/>
      <c r="BC143" s="487"/>
      <c r="BD143" s="101"/>
      <c r="BE143" s="101">
        <f>SUM(BE144:BE145)</f>
        <v>0</v>
      </c>
      <c r="BF143" s="101"/>
      <c r="BG143" s="101"/>
      <c r="BH143" s="487"/>
      <c r="BI143" s="101"/>
      <c r="BJ143" s="101">
        <f>SUM(BJ144:BJ145)</f>
        <v>0</v>
      </c>
      <c r="BK143" s="101"/>
      <c r="BL143" s="101"/>
      <c r="BM143" s="487"/>
      <c r="BN143" s="101"/>
      <c r="BO143" s="101">
        <f>SUM(BO144:BO145)</f>
        <v>0</v>
      </c>
      <c r="BP143" s="101"/>
      <c r="BQ143" s="101"/>
      <c r="BR143" s="487"/>
      <c r="BS143" s="101"/>
      <c r="BT143" s="101">
        <f>SUM(BT144:BT145)</f>
        <v>15053</v>
      </c>
      <c r="BU143" s="101"/>
      <c r="BV143" s="101"/>
      <c r="BW143" s="398"/>
    </row>
    <row r="144" spans="1:75" x14ac:dyDescent="0.3">
      <c r="A144" s="388"/>
      <c r="B144" s="388"/>
      <c r="C144" s="388"/>
      <c r="D144" s="398" t="s">
        <v>495</v>
      </c>
      <c r="E144" s="404"/>
      <c r="F144" s="412"/>
      <c r="G144" s="485">
        <v>2000</v>
      </c>
      <c r="H144" s="486"/>
      <c r="I144" s="101"/>
      <c r="J144" s="487"/>
      <c r="K144" s="412"/>
      <c r="L144" s="485">
        <v>0</v>
      </c>
      <c r="M144" s="486"/>
      <c r="N144" s="101"/>
      <c r="O144" s="487"/>
      <c r="P144" s="412"/>
      <c r="Q144" s="485">
        <v>1939</v>
      </c>
      <c r="R144" s="486"/>
      <c r="S144" s="101"/>
      <c r="T144" s="487"/>
      <c r="U144" s="412"/>
      <c r="V144" s="485">
        <v>0</v>
      </c>
      <c r="W144" s="486"/>
      <c r="X144" s="101"/>
      <c r="Y144" s="487"/>
      <c r="Z144" s="412"/>
      <c r="AA144" s="485">
        <v>0</v>
      </c>
      <c r="AB144" s="486"/>
      <c r="AC144" s="101"/>
      <c r="AD144" s="487"/>
      <c r="AE144" s="412"/>
      <c r="AF144" s="485">
        <v>0</v>
      </c>
      <c r="AG144" s="486"/>
      <c r="AH144" s="101"/>
      <c r="AI144" s="487"/>
      <c r="AJ144" s="412"/>
      <c r="AK144" s="485">
        <v>0</v>
      </c>
      <c r="AL144" s="486"/>
      <c r="AM144" s="101"/>
      <c r="AN144" s="487"/>
      <c r="AO144" s="412"/>
      <c r="AP144" s="485">
        <v>0</v>
      </c>
      <c r="AQ144" s="486"/>
      <c r="AR144" s="101"/>
      <c r="AS144" s="487"/>
      <c r="AT144" s="412"/>
      <c r="AU144" s="485">
        <v>1940</v>
      </c>
      <c r="AV144" s="486"/>
      <c r="AW144" s="101"/>
      <c r="AX144" s="487"/>
      <c r="AY144" s="412"/>
      <c r="AZ144" s="485">
        <v>0</v>
      </c>
      <c r="BA144" s="486"/>
      <c r="BB144" s="101"/>
      <c r="BC144" s="487"/>
      <c r="BD144" s="412"/>
      <c r="BE144" s="485">
        <v>0</v>
      </c>
      <c r="BF144" s="486"/>
      <c r="BG144" s="101"/>
      <c r="BH144" s="487"/>
      <c r="BI144" s="412"/>
      <c r="BJ144" s="485">
        <v>0</v>
      </c>
      <c r="BK144" s="486"/>
      <c r="BL144" s="101"/>
      <c r="BM144" s="487"/>
      <c r="BN144" s="412"/>
      <c r="BO144" s="485">
        <v>0</v>
      </c>
      <c r="BP144" s="486"/>
      <c r="BQ144" s="101"/>
      <c r="BR144" s="487"/>
      <c r="BS144" s="412"/>
      <c r="BT144" s="485">
        <f>SUM(L144:BO144)</f>
        <v>3879</v>
      </c>
      <c r="BU144" s="486"/>
      <c r="BV144" s="101"/>
      <c r="BW144" s="398"/>
    </row>
    <row r="145" spans="1:78" x14ac:dyDescent="0.3">
      <c r="A145" s="388"/>
      <c r="B145" s="388"/>
      <c r="C145" s="388"/>
      <c r="D145" s="398" t="s">
        <v>496</v>
      </c>
      <c r="E145" s="404"/>
      <c r="F145" s="427"/>
      <c r="G145" s="496">
        <v>5000</v>
      </c>
      <c r="H145" s="90"/>
      <c r="I145" s="101"/>
      <c r="J145" s="487"/>
      <c r="K145" s="427"/>
      <c r="L145" s="496">
        <v>0</v>
      </c>
      <c r="M145" s="90"/>
      <c r="N145" s="101"/>
      <c r="O145" s="487"/>
      <c r="P145" s="427"/>
      <c r="Q145" s="496">
        <v>6147</v>
      </c>
      <c r="R145" s="90"/>
      <c r="S145" s="101"/>
      <c r="T145" s="487"/>
      <c r="U145" s="427"/>
      <c r="V145" s="496">
        <v>0</v>
      </c>
      <c r="W145" s="90"/>
      <c r="X145" s="101"/>
      <c r="Y145" s="487"/>
      <c r="Z145" s="427"/>
      <c r="AA145" s="496">
        <v>0</v>
      </c>
      <c r="AB145" s="90"/>
      <c r="AC145" s="101"/>
      <c r="AD145" s="487"/>
      <c r="AE145" s="427"/>
      <c r="AF145" s="496">
        <v>0</v>
      </c>
      <c r="AG145" s="90"/>
      <c r="AH145" s="101"/>
      <c r="AI145" s="487"/>
      <c r="AJ145" s="427"/>
      <c r="AK145" s="496">
        <v>0</v>
      </c>
      <c r="AL145" s="90"/>
      <c r="AM145" s="101"/>
      <c r="AN145" s="487"/>
      <c r="AO145" s="427"/>
      <c r="AP145" s="496">
        <v>0</v>
      </c>
      <c r="AQ145" s="90"/>
      <c r="AR145" s="101"/>
      <c r="AS145" s="487"/>
      <c r="AT145" s="427"/>
      <c r="AU145" s="496">
        <v>5027</v>
      </c>
      <c r="AV145" s="90"/>
      <c r="AW145" s="101"/>
      <c r="AX145" s="487"/>
      <c r="AY145" s="427"/>
      <c r="AZ145" s="496">
        <v>0</v>
      </c>
      <c r="BA145" s="90"/>
      <c r="BB145" s="101"/>
      <c r="BC145" s="487"/>
      <c r="BD145" s="427"/>
      <c r="BE145" s="496">
        <v>0</v>
      </c>
      <c r="BF145" s="90"/>
      <c r="BG145" s="101"/>
      <c r="BH145" s="487"/>
      <c r="BI145" s="427"/>
      <c r="BJ145" s="496">
        <v>0</v>
      </c>
      <c r="BK145" s="90"/>
      <c r="BL145" s="101"/>
      <c r="BM145" s="487"/>
      <c r="BN145" s="427"/>
      <c r="BO145" s="496">
        <v>0</v>
      </c>
      <c r="BP145" s="90"/>
      <c r="BQ145" s="101"/>
      <c r="BR145" s="487"/>
      <c r="BS145" s="427"/>
      <c r="BT145" s="496">
        <f>SUM(L145:BO145)</f>
        <v>11174</v>
      </c>
      <c r="BU145" s="90"/>
      <c r="BV145" s="101"/>
      <c r="BW145" s="398"/>
    </row>
    <row r="146" spans="1:78" ht="12.75" hidden="1" customHeight="1" x14ac:dyDescent="0.2">
      <c r="A146" s="388"/>
      <c r="B146" s="388"/>
      <c r="C146" s="388"/>
      <c r="D146" s="398"/>
      <c r="E146" s="404"/>
      <c r="F146" s="388"/>
      <c r="G146" s="101"/>
      <c r="H146" s="101"/>
      <c r="I146" s="101"/>
      <c r="J146" s="487"/>
      <c r="K146" s="101"/>
      <c r="L146" s="101"/>
      <c r="M146" s="101"/>
      <c r="N146" s="101"/>
      <c r="O146" s="487"/>
      <c r="P146" s="101"/>
      <c r="Q146" s="101"/>
      <c r="R146" s="101"/>
      <c r="S146" s="101"/>
      <c r="T146" s="487"/>
      <c r="U146" s="101"/>
      <c r="V146" s="101"/>
      <c r="W146" s="101"/>
      <c r="X146" s="101"/>
      <c r="Y146" s="487"/>
      <c r="Z146" s="101"/>
      <c r="AA146" s="101"/>
      <c r="AB146" s="101"/>
      <c r="AC146" s="101"/>
      <c r="AD146" s="487"/>
      <c r="AE146" s="101"/>
      <c r="AF146" s="101"/>
      <c r="AG146" s="101"/>
      <c r="AH146" s="101"/>
      <c r="AI146" s="487"/>
      <c r="AJ146" s="101"/>
      <c r="AK146" s="101"/>
      <c r="AL146" s="101"/>
      <c r="AM146" s="101"/>
      <c r="AN146" s="487"/>
      <c r="AO146" s="101"/>
      <c r="AP146" s="101"/>
      <c r="AQ146" s="101"/>
      <c r="AR146" s="101"/>
      <c r="AS146" s="487"/>
      <c r="AT146" s="101"/>
      <c r="AU146" s="101"/>
      <c r="AV146" s="101"/>
      <c r="AW146" s="101"/>
      <c r="AX146" s="487"/>
      <c r="AY146" s="101"/>
      <c r="AZ146" s="101"/>
      <c r="BA146" s="101"/>
      <c r="BB146" s="101"/>
      <c r="BC146" s="487"/>
      <c r="BD146" s="101"/>
      <c r="BE146" s="101"/>
      <c r="BF146" s="101"/>
      <c r="BG146" s="101"/>
      <c r="BH146" s="487"/>
      <c r="BI146" s="101"/>
      <c r="BJ146" s="101"/>
      <c r="BK146" s="101"/>
      <c r="BL146" s="101"/>
      <c r="BM146" s="487"/>
      <c r="BN146" s="101"/>
      <c r="BO146" s="101"/>
      <c r="BP146" s="101"/>
      <c r="BQ146" s="101"/>
      <c r="BR146" s="487"/>
      <c r="BS146" s="101"/>
      <c r="BT146" s="101"/>
      <c r="BU146" s="101"/>
      <c r="BV146" s="101"/>
      <c r="BW146" s="398"/>
    </row>
    <row r="147" spans="1:78" ht="12.75" hidden="1" customHeight="1" x14ac:dyDescent="0.2">
      <c r="A147" s="388"/>
      <c r="B147" s="388"/>
      <c r="C147" s="388"/>
      <c r="D147" s="398" t="s">
        <v>506</v>
      </c>
      <c r="E147" s="404"/>
      <c r="F147" s="388"/>
      <c r="G147" s="101">
        <f>SUM(G148:G149)</f>
        <v>0</v>
      </c>
      <c r="H147" s="101"/>
      <c r="I147" s="101"/>
      <c r="J147" s="487"/>
      <c r="K147" s="101"/>
      <c r="L147" s="101">
        <f>SUM(L148:L149)</f>
        <v>0</v>
      </c>
      <c r="M147" s="101"/>
      <c r="N147" s="101"/>
      <c r="O147" s="487"/>
      <c r="P147" s="101"/>
      <c r="Q147" s="101">
        <f>SUM(Q148:Q149)</f>
        <v>0</v>
      </c>
      <c r="R147" s="101"/>
      <c r="S147" s="101"/>
      <c r="T147" s="487"/>
      <c r="U147" s="101"/>
      <c r="V147" s="101">
        <f>SUM(V148:V149)</f>
        <v>0</v>
      </c>
      <c r="W147" s="101"/>
      <c r="X147" s="101"/>
      <c r="Y147" s="487"/>
      <c r="Z147" s="101"/>
      <c r="AA147" s="101">
        <f>SUM(AA148:AA149)</f>
        <v>0</v>
      </c>
      <c r="AB147" s="101"/>
      <c r="AC147" s="101"/>
      <c r="AD147" s="487"/>
      <c r="AE147" s="101"/>
      <c r="AF147" s="101">
        <f>SUM(AF148:AF149)</f>
        <v>0</v>
      </c>
      <c r="AG147" s="101"/>
      <c r="AH147" s="101"/>
      <c r="AI147" s="487"/>
      <c r="AJ147" s="101"/>
      <c r="AK147" s="101">
        <f>SUM(AK148:AK149)</f>
        <v>0</v>
      </c>
      <c r="AL147" s="101"/>
      <c r="AM147" s="101"/>
      <c r="AN147" s="487"/>
      <c r="AO147" s="101"/>
      <c r="AP147" s="101">
        <f>SUM(AP148:AP149)</f>
        <v>0</v>
      </c>
      <c r="AQ147" s="101"/>
      <c r="AR147" s="101"/>
      <c r="AS147" s="487"/>
      <c r="AT147" s="101"/>
      <c r="AU147" s="101">
        <f>SUM(AU148:AU149)</f>
        <v>0</v>
      </c>
      <c r="AV147" s="101"/>
      <c r="AW147" s="101"/>
      <c r="AX147" s="487"/>
      <c r="AY147" s="101"/>
      <c r="AZ147" s="101">
        <f>SUM(AZ148:AZ149)</f>
        <v>0</v>
      </c>
      <c r="BA147" s="101"/>
      <c r="BB147" s="101"/>
      <c r="BC147" s="487"/>
      <c r="BD147" s="101"/>
      <c r="BE147" s="101">
        <f>SUM(BE148:BE149)</f>
        <v>0</v>
      </c>
      <c r="BF147" s="101"/>
      <c r="BG147" s="101"/>
      <c r="BH147" s="487"/>
      <c r="BI147" s="101"/>
      <c r="BJ147" s="101">
        <f>SUM(BJ148:BJ149)</f>
        <v>0</v>
      </c>
      <c r="BK147" s="101"/>
      <c r="BL147" s="101"/>
      <c r="BM147" s="487"/>
      <c r="BN147" s="101"/>
      <c r="BO147" s="101">
        <f>SUM(BO148:BO149)</f>
        <v>0</v>
      </c>
      <c r="BP147" s="101"/>
      <c r="BQ147" s="101"/>
      <c r="BR147" s="487"/>
      <c r="BS147" s="101"/>
      <c r="BT147" s="101">
        <f>SUM(BT148:BT149)</f>
        <v>0</v>
      </c>
      <c r="BU147" s="101"/>
      <c r="BV147" s="101"/>
      <c r="BW147" s="398"/>
    </row>
    <row r="148" spans="1:78" ht="12.75" hidden="1" customHeight="1" x14ac:dyDescent="0.2">
      <c r="A148" s="388"/>
      <c r="B148" s="388"/>
      <c r="C148" s="388"/>
      <c r="D148" s="398" t="s">
        <v>495</v>
      </c>
      <c r="E148" s="404"/>
      <c r="F148" s="412"/>
      <c r="G148" s="485">
        <v>0</v>
      </c>
      <c r="H148" s="486"/>
      <c r="I148" s="101"/>
      <c r="J148" s="487"/>
      <c r="K148" s="488"/>
      <c r="L148" s="485">
        <v>0</v>
      </c>
      <c r="M148" s="486"/>
      <c r="N148" s="101"/>
      <c r="O148" s="487"/>
      <c r="P148" s="488"/>
      <c r="Q148" s="485">
        <v>0</v>
      </c>
      <c r="R148" s="486"/>
      <c r="S148" s="101"/>
      <c r="T148" s="487"/>
      <c r="U148" s="488"/>
      <c r="V148" s="485">
        <v>0</v>
      </c>
      <c r="W148" s="486"/>
      <c r="X148" s="101"/>
      <c r="Y148" s="487"/>
      <c r="Z148" s="488"/>
      <c r="AA148" s="485">
        <v>0</v>
      </c>
      <c r="AB148" s="486"/>
      <c r="AC148" s="101"/>
      <c r="AD148" s="487"/>
      <c r="AE148" s="488"/>
      <c r="AF148" s="485">
        <v>0</v>
      </c>
      <c r="AG148" s="486"/>
      <c r="AH148" s="101"/>
      <c r="AI148" s="487"/>
      <c r="AJ148" s="488"/>
      <c r="AK148" s="485">
        <v>0</v>
      </c>
      <c r="AL148" s="486"/>
      <c r="AM148" s="101"/>
      <c r="AN148" s="487"/>
      <c r="AO148" s="488"/>
      <c r="AP148" s="485">
        <v>0</v>
      </c>
      <c r="AQ148" s="486"/>
      <c r="AR148" s="101"/>
      <c r="AS148" s="487"/>
      <c r="AT148" s="488"/>
      <c r="AU148" s="485">
        <v>0</v>
      </c>
      <c r="AV148" s="486"/>
      <c r="AW148" s="101"/>
      <c r="AX148" s="487"/>
      <c r="AY148" s="488"/>
      <c r="AZ148" s="485">
        <v>0</v>
      </c>
      <c r="BA148" s="486"/>
      <c r="BB148" s="101"/>
      <c r="BC148" s="487"/>
      <c r="BD148" s="488"/>
      <c r="BE148" s="485">
        <v>0</v>
      </c>
      <c r="BF148" s="486"/>
      <c r="BG148" s="101"/>
      <c r="BH148" s="487"/>
      <c r="BI148" s="488"/>
      <c r="BJ148" s="485">
        <v>0</v>
      </c>
      <c r="BK148" s="486"/>
      <c r="BL148" s="101"/>
      <c r="BM148" s="487"/>
      <c r="BN148" s="488"/>
      <c r="BO148" s="485">
        <v>0</v>
      </c>
      <c r="BP148" s="486"/>
      <c r="BQ148" s="101"/>
      <c r="BR148" s="487"/>
      <c r="BS148" s="488"/>
      <c r="BT148" s="485">
        <f>SUM(L148:BO148)</f>
        <v>0</v>
      </c>
      <c r="BU148" s="486"/>
      <c r="BV148" s="101"/>
      <c r="BW148" s="398"/>
    </row>
    <row r="149" spans="1:78" ht="12.75" hidden="1" customHeight="1" x14ac:dyDescent="0.2">
      <c r="A149" s="388"/>
      <c r="B149" s="388"/>
      <c r="C149" s="388"/>
      <c r="D149" s="398" t="s">
        <v>496</v>
      </c>
      <c r="E149" s="404"/>
      <c r="F149" s="427"/>
      <c r="G149" s="496">
        <v>0</v>
      </c>
      <c r="H149" s="90"/>
      <c r="I149" s="101"/>
      <c r="J149" s="487"/>
      <c r="K149" s="497"/>
      <c r="L149" s="496">
        <v>0</v>
      </c>
      <c r="M149" s="90"/>
      <c r="N149" s="101"/>
      <c r="O149" s="487"/>
      <c r="P149" s="497"/>
      <c r="Q149" s="496">
        <v>0</v>
      </c>
      <c r="R149" s="90"/>
      <c r="S149" s="101"/>
      <c r="T149" s="487"/>
      <c r="U149" s="497"/>
      <c r="V149" s="496">
        <v>0</v>
      </c>
      <c r="W149" s="90"/>
      <c r="X149" s="101"/>
      <c r="Y149" s="487"/>
      <c r="Z149" s="497"/>
      <c r="AA149" s="496">
        <v>0</v>
      </c>
      <c r="AB149" s="90"/>
      <c r="AC149" s="101"/>
      <c r="AD149" s="487"/>
      <c r="AE149" s="497"/>
      <c r="AF149" s="496">
        <v>0</v>
      </c>
      <c r="AG149" s="90"/>
      <c r="AH149" s="101"/>
      <c r="AI149" s="487"/>
      <c r="AJ149" s="497"/>
      <c r="AK149" s="496">
        <v>0</v>
      </c>
      <c r="AL149" s="90"/>
      <c r="AM149" s="101"/>
      <c r="AN149" s="487"/>
      <c r="AO149" s="497"/>
      <c r="AP149" s="496">
        <v>0</v>
      </c>
      <c r="AQ149" s="90"/>
      <c r="AR149" s="101"/>
      <c r="AS149" s="487"/>
      <c r="AT149" s="497"/>
      <c r="AU149" s="496">
        <v>0</v>
      </c>
      <c r="AV149" s="90"/>
      <c r="AW149" s="101"/>
      <c r="AX149" s="487"/>
      <c r="AY149" s="497"/>
      <c r="AZ149" s="496">
        <v>0</v>
      </c>
      <c r="BA149" s="90"/>
      <c r="BB149" s="101"/>
      <c r="BC149" s="487"/>
      <c r="BD149" s="497"/>
      <c r="BE149" s="496">
        <v>0</v>
      </c>
      <c r="BF149" s="90"/>
      <c r="BG149" s="101"/>
      <c r="BH149" s="487"/>
      <c r="BI149" s="497"/>
      <c r="BJ149" s="496">
        <v>0</v>
      </c>
      <c r="BK149" s="90"/>
      <c r="BL149" s="101"/>
      <c r="BM149" s="487"/>
      <c r="BN149" s="497"/>
      <c r="BO149" s="496">
        <v>0</v>
      </c>
      <c r="BP149" s="90"/>
      <c r="BQ149" s="101"/>
      <c r="BR149" s="487"/>
      <c r="BS149" s="497"/>
      <c r="BT149" s="496">
        <f>SUM(L149:BO149)</f>
        <v>0</v>
      </c>
      <c r="BU149" s="90"/>
      <c r="BV149" s="101"/>
      <c r="BW149" s="398"/>
    </row>
    <row r="150" spans="1:78" ht="12.75" hidden="1" customHeight="1" x14ac:dyDescent="0.2">
      <c r="A150" s="388"/>
      <c r="B150" s="388"/>
      <c r="C150" s="388"/>
      <c r="D150" s="398"/>
      <c r="E150" s="404"/>
      <c r="F150" s="388"/>
      <c r="G150" s="101"/>
      <c r="H150" s="101"/>
      <c r="I150" s="101"/>
      <c r="J150" s="487"/>
      <c r="K150" s="101"/>
      <c r="L150" s="101"/>
      <c r="M150" s="101"/>
      <c r="N150" s="101"/>
      <c r="O150" s="487"/>
      <c r="P150" s="101"/>
      <c r="Q150" s="101"/>
      <c r="R150" s="101"/>
      <c r="S150" s="101"/>
      <c r="T150" s="487"/>
      <c r="U150" s="101"/>
      <c r="V150" s="101"/>
      <c r="W150" s="101"/>
      <c r="X150" s="101"/>
      <c r="Y150" s="487"/>
      <c r="Z150" s="101"/>
      <c r="AA150" s="101"/>
      <c r="AB150" s="101"/>
      <c r="AC150" s="101"/>
      <c r="AD150" s="487"/>
      <c r="AE150" s="101"/>
      <c r="AF150" s="101"/>
      <c r="AG150" s="101"/>
      <c r="AH150" s="101"/>
      <c r="AI150" s="487"/>
      <c r="AJ150" s="101"/>
      <c r="AK150" s="101"/>
      <c r="AL150" s="101"/>
      <c r="AM150" s="101"/>
      <c r="AN150" s="487"/>
      <c r="AO150" s="101"/>
      <c r="AP150" s="101"/>
      <c r="AQ150" s="101"/>
      <c r="AR150" s="101"/>
      <c r="AS150" s="487"/>
      <c r="AT150" s="101"/>
      <c r="AU150" s="101"/>
      <c r="AV150" s="101"/>
      <c r="AW150" s="101"/>
      <c r="AX150" s="487"/>
      <c r="AY150" s="101"/>
      <c r="AZ150" s="101"/>
      <c r="BA150" s="101"/>
      <c r="BB150" s="101"/>
      <c r="BC150" s="487"/>
      <c r="BD150" s="101"/>
      <c r="BE150" s="101"/>
      <c r="BF150" s="101"/>
      <c r="BG150" s="101"/>
      <c r="BH150" s="487"/>
      <c r="BI150" s="101"/>
      <c r="BJ150" s="101"/>
      <c r="BK150" s="101"/>
      <c r="BL150" s="101"/>
      <c r="BM150" s="487"/>
      <c r="BN150" s="101"/>
      <c r="BO150" s="101"/>
      <c r="BP150" s="101"/>
      <c r="BQ150" s="101"/>
      <c r="BR150" s="487"/>
      <c r="BS150" s="101"/>
      <c r="BT150" s="101"/>
      <c r="BU150" s="101"/>
      <c r="BV150" s="101"/>
      <c r="BW150" s="398"/>
    </row>
    <row r="151" spans="1:78" ht="12.75" hidden="1" customHeight="1" x14ac:dyDescent="0.2">
      <c r="A151" s="388"/>
      <c r="B151" s="388"/>
      <c r="C151" s="388"/>
      <c r="D151" s="398" t="s">
        <v>507</v>
      </c>
      <c r="E151" s="404"/>
      <c r="F151" s="388"/>
      <c r="G151" s="101">
        <f>SUM(G152:G153)</f>
        <v>0</v>
      </c>
      <c r="H151" s="101"/>
      <c r="I151" s="101"/>
      <c r="J151" s="487"/>
      <c r="K151" s="101"/>
      <c r="L151" s="101">
        <f>SUM(L152:L153)</f>
        <v>0</v>
      </c>
      <c r="M151" s="101"/>
      <c r="N151" s="101"/>
      <c r="O151" s="487"/>
      <c r="P151" s="101"/>
      <c r="Q151" s="101">
        <f>SUM(Q152:Q153)</f>
        <v>0</v>
      </c>
      <c r="R151" s="101"/>
      <c r="S151" s="101"/>
      <c r="T151" s="487"/>
      <c r="U151" s="101"/>
      <c r="V151" s="101">
        <f>SUM(V152:V153)</f>
        <v>0</v>
      </c>
      <c r="W151" s="101"/>
      <c r="X151" s="101"/>
      <c r="Y151" s="487"/>
      <c r="Z151" s="101"/>
      <c r="AA151" s="101">
        <f>SUM(AA152:AA153)</f>
        <v>0</v>
      </c>
      <c r="AB151" s="101"/>
      <c r="AC151" s="101"/>
      <c r="AD151" s="487"/>
      <c r="AE151" s="101"/>
      <c r="AF151" s="101">
        <f>SUM(AF152:AF153)</f>
        <v>0</v>
      </c>
      <c r="AG151" s="101"/>
      <c r="AH151" s="101"/>
      <c r="AI151" s="487"/>
      <c r="AJ151" s="101"/>
      <c r="AK151" s="101">
        <f>SUM(AK152:AK153)</f>
        <v>0</v>
      </c>
      <c r="AL151" s="101"/>
      <c r="AM151" s="101"/>
      <c r="AN151" s="487"/>
      <c r="AO151" s="101"/>
      <c r="AP151" s="101">
        <f>SUM(AP152:AP153)</f>
        <v>0</v>
      </c>
      <c r="AQ151" s="101"/>
      <c r="AR151" s="101"/>
      <c r="AS151" s="487"/>
      <c r="AT151" s="101"/>
      <c r="AU151" s="101">
        <f>SUM(AU152:AU153)</f>
        <v>0</v>
      </c>
      <c r="AV151" s="101"/>
      <c r="AW151" s="101"/>
      <c r="AX151" s="487"/>
      <c r="AY151" s="101"/>
      <c r="AZ151" s="101">
        <f>SUM(AZ152:AZ153)</f>
        <v>0</v>
      </c>
      <c r="BA151" s="101"/>
      <c r="BB151" s="101"/>
      <c r="BC151" s="487"/>
      <c r="BD151" s="101"/>
      <c r="BE151" s="101">
        <f>SUM(BE152:BE153)</f>
        <v>0</v>
      </c>
      <c r="BF151" s="101"/>
      <c r="BG151" s="101"/>
      <c r="BH151" s="487"/>
      <c r="BI151" s="101"/>
      <c r="BJ151" s="101">
        <f>SUM(BJ152:BJ153)</f>
        <v>0</v>
      </c>
      <c r="BK151" s="101"/>
      <c r="BL151" s="101"/>
      <c r="BM151" s="487"/>
      <c r="BN151" s="101"/>
      <c r="BO151" s="101">
        <f>SUM(BO152:BO153)</f>
        <v>0</v>
      </c>
      <c r="BP151" s="101"/>
      <c r="BQ151" s="101"/>
      <c r="BR151" s="487"/>
      <c r="BS151" s="101"/>
      <c r="BT151" s="101">
        <f>SUM(BT152:BT153)</f>
        <v>0</v>
      </c>
      <c r="BU151" s="101"/>
      <c r="BV151" s="101"/>
      <c r="BW151" s="398"/>
    </row>
    <row r="152" spans="1:78" ht="12.75" hidden="1" customHeight="1" x14ac:dyDescent="0.2">
      <c r="A152" s="388"/>
      <c r="B152" s="388"/>
      <c r="C152" s="388"/>
      <c r="D152" s="398" t="s">
        <v>495</v>
      </c>
      <c r="E152" s="404"/>
      <c r="F152" s="412"/>
      <c r="G152" s="485">
        <v>0</v>
      </c>
      <c r="H152" s="486"/>
      <c r="I152" s="101"/>
      <c r="J152" s="487"/>
      <c r="K152" s="488"/>
      <c r="L152" s="485">
        <v>0</v>
      </c>
      <c r="M152" s="486"/>
      <c r="N152" s="101"/>
      <c r="O152" s="487"/>
      <c r="P152" s="488"/>
      <c r="Q152" s="485">
        <v>0</v>
      </c>
      <c r="R152" s="486"/>
      <c r="S152" s="101"/>
      <c r="T152" s="487"/>
      <c r="U152" s="488"/>
      <c r="V152" s="485">
        <v>0</v>
      </c>
      <c r="W152" s="486"/>
      <c r="X152" s="101"/>
      <c r="Y152" s="487"/>
      <c r="Z152" s="488"/>
      <c r="AA152" s="485">
        <v>0</v>
      </c>
      <c r="AB152" s="486"/>
      <c r="AC152" s="101"/>
      <c r="AD152" s="487"/>
      <c r="AE152" s="488"/>
      <c r="AF152" s="485">
        <v>0</v>
      </c>
      <c r="AG152" s="486"/>
      <c r="AH152" s="101"/>
      <c r="AI152" s="487"/>
      <c r="AJ152" s="488"/>
      <c r="AK152" s="485">
        <v>0</v>
      </c>
      <c r="AL152" s="486"/>
      <c r="AM152" s="101"/>
      <c r="AN152" s="487"/>
      <c r="AO152" s="488"/>
      <c r="AP152" s="485">
        <v>0</v>
      </c>
      <c r="AQ152" s="486"/>
      <c r="AR152" s="101"/>
      <c r="AS152" s="487"/>
      <c r="AT152" s="488"/>
      <c r="AU152" s="485">
        <v>0</v>
      </c>
      <c r="AV152" s="486"/>
      <c r="AW152" s="101"/>
      <c r="AX152" s="487"/>
      <c r="AY152" s="488"/>
      <c r="AZ152" s="485">
        <v>0</v>
      </c>
      <c r="BA152" s="486"/>
      <c r="BB152" s="101"/>
      <c r="BC152" s="487"/>
      <c r="BD152" s="488"/>
      <c r="BE152" s="485">
        <v>0</v>
      </c>
      <c r="BF152" s="486"/>
      <c r="BG152" s="101"/>
      <c r="BH152" s="487"/>
      <c r="BI152" s="488"/>
      <c r="BJ152" s="485">
        <v>0</v>
      </c>
      <c r="BK152" s="486"/>
      <c r="BL152" s="101"/>
      <c r="BM152" s="487"/>
      <c r="BN152" s="488"/>
      <c r="BO152" s="485">
        <v>0</v>
      </c>
      <c r="BP152" s="486"/>
      <c r="BQ152" s="101"/>
      <c r="BR152" s="487"/>
      <c r="BS152" s="488"/>
      <c r="BT152" s="485">
        <f>SUM(L152:BO152)</f>
        <v>0</v>
      </c>
      <c r="BU152" s="486"/>
      <c r="BV152" s="101"/>
      <c r="BW152" s="398"/>
    </row>
    <row r="153" spans="1:78" ht="12.75" hidden="1" customHeight="1" x14ac:dyDescent="0.2">
      <c r="A153" s="388"/>
      <c r="B153" s="388"/>
      <c r="C153" s="388"/>
      <c r="D153" s="398" t="s">
        <v>496</v>
      </c>
      <c r="E153" s="404"/>
      <c r="F153" s="427"/>
      <c r="G153" s="496">
        <v>0</v>
      </c>
      <c r="H153" s="90"/>
      <c r="I153" s="101"/>
      <c r="J153" s="487"/>
      <c r="K153" s="497"/>
      <c r="L153" s="496">
        <v>0</v>
      </c>
      <c r="M153" s="90"/>
      <c r="N153" s="101"/>
      <c r="O153" s="487"/>
      <c r="P153" s="497"/>
      <c r="Q153" s="496">
        <v>0</v>
      </c>
      <c r="R153" s="90"/>
      <c r="S153" s="101"/>
      <c r="T153" s="487"/>
      <c r="U153" s="497"/>
      <c r="V153" s="496">
        <v>0</v>
      </c>
      <c r="W153" s="90"/>
      <c r="X153" s="101"/>
      <c r="Y153" s="487"/>
      <c r="Z153" s="497"/>
      <c r="AA153" s="496">
        <v>0</v>
      </c>
      <c r="AB153" s="90"/>
      <c r="AC153" s="101"/>
      <c r="AD153" s="487"/>
      <c r="AE153" s="497"/>
      <c r="AF153" s="496">
        <v>0</v>
      </c>
      <c r="AG153" s="90"/>
      <c r="AH153" s="101"/>
      <c r="AI153" s="487"/>
      <c r="AJ153" s="497"/>
      <c r="AK153" s="496">
        <v>0</v>
      </c>
      <c r="AL153" s="90"/>
      <c r="AM153" s="101"/>
      <c r="AN153" s="487"/>
      <c r="AO153" s="497"/>
      <c r="AP153" s="496">
        <v>0</v>
      </c>
      <c r="AQ153" s="90"/>
      <c r="AR153" s="101"/>
      <c r="AS153" s="487"/>
      <c r="AT153" s="497"/>
      <c r="AU153" s="496">
        <v>0</v>
      </c>
      <c r="AV153" s="90"/>
      <c r="AW153" s="101"/>
      <c r="AX153" s="487"/>
      <c r="AY153" s="497"/>
      <c r="AZ153" s="496">
        <v>0</v>
      </c>
      <c r="BA153" s="90"/>
      <c r="BB153" s="101"/>
      <c r="BC153" s="487"/>
      <c r="BD153" s="497"/>
      <c r="BE153" s="496">
        <v>0</v>
      </c>
      <c r="BF153" s="90"/>
      <c r="BG153" s="101"/>
      <c r="BH153" s="487"/>
      <c r="BI153" s="497"/>
      <c r="BJ153" s="496">
        <v>0</v>
      </c>
      <c r="BK153" s="90"/>
      <c r="BL153" s="101"/>
      <c r="BM153" s="487"/>
      <c r="BN153" s="497"/>
      <c r="BO153" s="496">
        <v>0</v>
      </c>
      <c r="BP153" s="90"/>
      <c r="BQ153" s="101"/>
      <c r="BR153" s="487"/>
      <c r="BS153" s="497"/>
      <c r="BT153" s="496">
        <f>SUM(L153:BO153)</f>
        <v>0</v>
      </c>
      <c r="BU153" s="90"/>
      <c r="BV153" s="101"/>
      <c r="BW153" s="398"/>
    </row>
    <row r="154" spans="1:78" ht="12.75" hidden="1" customHeight="1" x14ac:dyDescent="0.2">
      <c r="A154" s="388"/>
      <c r="B154" s="388"/>
      <c r="C154" s="388"/>
      <c r="D154" s="398"/>
      <c r="E154" s="404"/>
      <c r="F154" s="388"/>
      <c r="G154" s="101"/>
      <c r="H154" s="101"/>
      <c r="I154" s="101"/>
      <c r="J154" s="487"/>
      <c r="K154" s="101"/>
      <c r="L154" s="101"/>
      <c r="M154" s="101"/>
      <c r="N154" s="101"/>
      <c r="O154" s="487"/>
      <c r="P154" s="101"/>
      <c r="Q154" s="101"/>
      <c r="R154" s="101"/>
      <c r="S154" s="101"/>
      <c r="T154" s="487"/>
      <c r="U154" s="101"/>
      <c r="V154" s="101"/>
      <c r="W154" s="101"/>
      <c r="X154" s="101"/>
      <c r="Y154" s="487"/>
      <c r="Z154" s="101"/>
      <c r="AA154" s="101"/>
      <c r="AB154" s="101"/>
      <c r="AC154" s="101"/>
      <c r="AD154" s="487"/>
      <c r="AE154" s="101"/>
      <c r="AF154" s="101"/>
      <c r="AG154" s="101"/>
      <c r="AH154" s="101"/>
      <c r="AI154" s="487"/>
      <c r="AJ154" s="101"/>
      <c r="AK154" s="101"/>
      <c r="AL154" s="101"/>
      <c r="AM154" s="101"/>
      <c r="AN154" s="487"/>
      <c r="AO154" s="101"/>
      <c r="AP154" s="101"/>
      <c r="AQ154" s="101"/>
      <c r="AR154" s="101"/>
      <c r="AS154" s="487"/>
      <c r="AT154" s="101"/>
      <c r="AU154" s="101"/>
      <c r="AV154" s="101"/>
      <c r="AW154" s="101"/>
      <c r="AX154" s="487"/>
      <c r="AY154" s="101"/>
      <c r="AZ154" s="101"/>
      <c r="BA154" s="101"/>
      <c r="BB154" s="101"/>
      <c r="BC154" s="487"/>
      <c r="BD154" s="101"/>
      <c r="BE154" s="101"/>
      <c r="BF154" s="101"/>
      <c r="BG154" s="101"/>
      <c r="BH154" s="487"/>
      <c r="BI154" s="101"/>
      <c r="BJ154" s="101"/>
      <c r="BK154" s="101"/>
      <c r="BL154" s="101"/>
      <c r="BM154" s="487"/>
      <c r="BN154" s="101"/>
      <c r="BO154" s="101"/>
      <c r="BP154" s="101"/>
      <c r="BQ154" s="101"/>
      <c r="BR154" s="487"/>
      <c r="BS154" s="101"/>
      <c r="BT154" s="101"/>
      <c r="BU154" s="101"/>
      <c r="BV154" s="101"/>
      <c r="BW154" s="398"/>
    </row>
    <row r="155" spans="1:78" s="411" customFormat="1" ht="12.75" hidden="1" customHeight="1" x14ac:dyDescent="0.2">
      <c r="A155" s="389"/>
      <c r="B155" s="389"/>
      <c r="C155" s="389"/>
      <c r="D155" s="405" t="s">
        <v>508</v>
      </c>
      <c r="E155" s="407"/>
      <c r="F155" s="389"/>
      <c r="G155" s="482">
        <f>SUM(G156:G157)</f>
        <v>0</v>
      </c>
      <c r="H155" s="482"/>
      <c r="I155" s="482"/>
      <c r="J155" s="483"/>
      <c r="K155" s="482"/>
      <c r="L155" s="482">
        <f>SUM(L156:L157)</f>
        <v>0</v>
      </c>
      <c r="M155" s="482"/>
      <c r="N155" s="482"/>
      <c r="O155" s="483"/>
      <c r="P155" s="482"/>
      <c r="Q155" s="482">
        <f>SUM(Q156:Q157)</f>
        <v>0</v>
      </c>
      <c r="R155" s="482"/>
      <c r="S155" s="482"/>
      <c r="T155" s="483"/>
      <c r="U155" s="482"/>
      <c r="V155" s="482">
        <f>SUM(V156:V157)</f>
        <v>0</v>
      </c>
      <c r="W155" s="482"/>
      <c r="X155" s="482"/>
      <c r="Y155" s="483"/>
      <c r="Z155" s="482"/>
      <c r="AA155" s="482">
        <f>SUM(AA156:AA157)</f>
        <v>0</v>
      </c>
      <c r="AB155" s="482"/>
      <c r="AC155" s="482"/>
      <c r="AD155" s="483"/>
      <c r="AE155" s="482"/>
      <c r="AF155" s="482">
        <f>SUM(AF156:AF157)</f>
        <v>0</v>
      </c>
      <c r="AG155" s="482"/>
      <c r="AH155" s="482"/>
      <c r="AI155" s="483"/>
      <c r="AJ155" s="482"/>
      <c r="AK155" s="482">
        <f>SUM(AK156:AK157)</f>
        <v>0</v>
      </c>
      <c r="AL155" s="482"/>
      <c r="AM155" s="482"/>
      <c r="AN155" s="483"/>
      <c r="AO155" s="482"/>
      <c r="AP155" s="482">
        <f>SUM(AP156:AP157)</f>
        <v>0</v>
      </c>
      <c r="AQ155" s="482"/>
      <c r="AR155" s="482"/>
      <c r="AS155" s="483"/>
      <c r="AT155" s="482"/>
      <c r="AU155" s="482">
        <f>SUM(AU156:AU157)</f>
        <v>0</v>
      </c>
      <c r="AV155" s="482"/>
      <c r="AW155" s="482"/>
      <c r="AX155" s="483"/>
      <c r="AY155" s="482"/>
      <c r="AZ155" s="482">
        <f>SUM(AZ156:AZ157)</f>
        <v>0</v>
      </c>
      <c r="BA155" s="482"/>
      <c r="BB155" s="482"/>
      <c r="BC155" s="483"/>
      <c r="BD155" s="482"/>
      <c r="BE155" s="482">
        <f>SUM(BE156:BE157)</f>
        <v>0</v>
      </c>
      <c r="BF155" s="482"/>
      <c r="BG155" s="482"/>
      <c r="BH155" s="483"/>
      <c r="BI155" s="482"/>
      <c r="BJ155" s="482">
        <f>SUM(BJ156:BJ157)</f>
        <v>0</v>
      </c>
      <c r="BK155" s="482"/>
      <c r="BL155" s="482"/>
      <c r="BM155" s="483"/>
      <c r="BN155" s="482"/>
      <c r="BO155" s="482">
        <f>SUM(BO156:BO157)</f>
        <v>0</v>
      </c>
      <c r="BP155" s="482"/>
      <c r="BQ155" s="482"/>
      <c r="BR155" s="483"/>
      <c r="BS155" s="482"/>
      <c r="BT155" s="482">
        <f>SUM(BT156:BT157)</f>
        <v>0</v>
      </c>
      <c r="BU155" s="482"/>
      <c r="BV155" s="482"/>
      <c r="BW155" s="405"/>
      <c r="BY155" s="38"/>
      <c r="BZ155" s="38"/>
    </row>
    <row r="156" spans="1:78" ht="12.75" hidden="1" customHeight="1" x14ac:dyDescent="0.2">
      <c r="A156" s="388"/>
      <c r="B156" s="388"/>
      <c r="C156" s="388"/>
      <c r="D156" s="398" t="s">
        <v>495</v>
      </c>
      <c r="E156" s="404"/>
      <c r="F156" s="412"/>
      <c r="G156" s="485">
        <v>0</v>
      </c>
      <c r="H156" s="486"/>
      <c r="I156" s="101"/>
      <c r="J156" s="487"/>
      <c r="K156" s="488"/>
      <c r="L156" s="485">
        <f>L160+L164</f>
        <v>0</v>
      </c>
      <c r="M156" s="486"/>
      <c r="N156" s="101"/>
      <c r="O156" s="487"/>
      <c r="P156" s="488"/>
      <c r="Q156" s="485">
        <f>Q160+Q164</f>
        <v>0</v>
      </c>
      <c r="R156" s="486"/>
      <c r="S156" s="101"/>
      <c r="T156" s="487"/>
      <c r="U156" s="488"/>
      <c r="V156" s="485">
        <f>V160+V164</f>
        <v>0</v>
      </c>
      <c r="W156" s="486"/>
      <c r="X156" s="101"/>
      <c r="Y156" s="487"/>
      <c r="Z156" s="488"/>
      <c r="AA156" s="485">
        <f>AA160+AA164</f>
        <v>0</v>
      </c>
      <c r="AB156" s="486"/>
      <c r="AC156" s="101"/>
      <c r="AD156" s="487"/>
      <c r="AE156" s="488"/>
      <c r="AF156" s="485">
        <f>AF160+AF164</f>
        <v>0</v>
      </c>
      <c r="AG156" s="486"/>
      <c r="AH156" s="101"/>
      <c r="AI156" s="487"/>
      <c r="AJ156" s="488"/>
      <c r="AK156" s="485">
        <f>AK160+AK164</f>
        <v>0</v>
      </c>
      <c r="AL156" s="486"/>
      <c r="AM156" s="101"/>
      <c r="AN156" s="487"/>
      <c r="AO156" s="488"/>
      <c r="AP156" s="485">
        <v>0</v>
      </c>
      <c r="AQ156" s="486"/>
      <c r="AR156" s="101"/>
      <c r="AS156" s="487"/>
      <c r="AT156" s="488"/>
      <c r="AU156" s="485">
        <f>AU160+AU164</f>
        <v>0</v>
      </c>
      <c r="AV156" s="486"/>
      <c r="AW156" s="101"/>
      <c r="AX156" s="487"/>
      <c r="AY156" s="488"/>
      <c r="AZ156" s="485">
        <f>AZ160+AZ164</f>
        <v>0</v>
      </c>
      <c r="BA156" s="486"/>
      <c r="BB156" s="101"/>
      <c r="BC156" s="487"/>
      <c r="BD156" s="488"/>
      <c r="BE156" s="485">
        <f>BE160+BE164</f>
        <v>0</v>
      </c>
      <c r="BF156" s="486"/>
      <c r="BG156" s="101"/>
      <c r="BH156" s="487"/>
      <c r="BI156" s="488"/>
      <c r="BJ156" s="485">
        <f>BJ160+BJ164</f>
        <v>0</v>
      </c>
      <c r="BK156" s="486"/>
      <c r="BL156" s="101"/>
      <c r="BM156" s="487"/>
      <c r="BN156" s="488"/>
      <c r="BO156" s="485">
        <f>BO160+BO164</f>
        <v>0</v>
      </c>
      <c r="BP156" s="486"/>
      <c r="BQ156" s="101"/>
      <c r="BR156" s="487"/>
      <c r="BS156" s="488"/>
      <c r="BT156" s="485">
        <f>BT160+BT164</f>
        <v>0</v>
      </c>
      <c r="BU156" s="486"/>
      <c r="BV156" s="101"/>
      <c r="BW156" s="398"/>
    </row>
    <row r="157" spans="1:78" ht="12.75" hidden="1" customHeight="1" x14ac:dyDescent="0.2">
      <c r="A157" s="388"/>
      <c r="B157" s="388"/>
      <c r="C157" s="388"/>
      <c r="D157" s="398" t="s">
        <v>496</v>
      </c>
      <c r="E157" s="404"/>
      <c r="F157" s="427"/>
      <c r="G157" s="496">
        <v>0</v>
      </c>
      <c r="H157" s="90"/>
      <c r="I157" s="101"/>
      <c r="J157" s="487"/>
      <c r="K157" s="497"/>
      <c r="L157" s="496">
        <f>L161+L165</f>
        <v>0</v>
      </c>
      <c r="M157" s="90"/>
      <c r="N157" s="101"/>
      <c r="O157" s="487"/>
      <c r="P157" s="497"/>
      <c r="Q157" s="496">
        <f>Q161+Q165</f>
        <v>0</v>
      </c>
      <c r="R157" s="90"/>
      <c r="S157" s="101"/>
      <c r="T157" s="487"/>
      <c r="U157" s="497"/>
      <c r="V157" s="496">
        <f>V161+V165</f>
        <v>0</v>
      </c>
      <c r="W157" s="90"/>
      <c r="X157" s="101"/>
      <c r="Y157" s="487"/>
      <c r="Z157" s="497"/>
      <c r="AA157" s="496">
        <f>AA161+AA165</f>
        <v>0</v>
      </c>
      <c r="AB157" s="90"/>
      <c r="AC157" s="101"/>
      <c r="AD157" s="487"/>
      <c r="AE157" s="497"/>
      <c r="AF157" s="496">
        <f>AF161+AF165</f>
        <v>0</v>
      </c>
      <c r="AG157" s="90"/>
      <c r="AH157" s="101"/>
      <c r="AI157" s="487"/>
      <c r="AJ157" s="497"/>
      <c r="AK157" s="496">
        <f>AK161+AK165</f>
        <v>0</v>
      </c>
      <c r="AL157" s="90"/>
      <c r="AM157" s="101"/>
      <c r="AN157" s="487"/>
      <c r="AO157" s="497"/>
      <c r="AP157" s="496">
        <v>0</v>
      </c>
      <c r="AQ157" s="90"/>
      <c r="AR157" s="101"/>
      <c r="AS157" s="487"/>
      <c r="AT157" s="497"/>
      <c r="AU157" s="496">
        <f>AU161+AU165</f>
        <v>0</v>
      </c>
      <c r="AV157" s="90"/>
      <c r="AW157" s="101"/>
      <c r="AX157" s="487"/>
      <c r="AY157" s="497"/>
      <c r="AZ157" s="496">
        <f>AZ161+AZ165</f>
        <v>0</v>
      </c>
      <c r="BA157" s="90"/>
      <c r="BB157" s="101"/>
      <c r="BC157" s="487"/>
      <c r="BD157" s="497"/>
      <c r="BE157" s="496">
        <f>BE161+BE165</f>
        <v>0</v>
      </c>
      <c r="BF157" s="90"/>
      <c r="BG157" s="101"/>
      <c r="BH157" s="487"/>
      <c r="BI157" s="497"/>
      <c r="BJ157" s="496">
        <f>BJ161+BJ165</f>
        <v>0</v>
      </c>
      <c r="BK157" s="90"/>
      <c r="BL157" s="101"/>
      <c r="BM157" s="487"/>
      <c r="BN157" s="497"/>
      <c r="BO157" s="496">
        <f>BO161+BO165</f>
        <v>0</v>
      </c>
      <c r="BP157" s="90"/>
      <c r="BQ157" s="101"/>
      <c r="BR157" s="487"/>
      <c r="BS157" s="497"/>
      <c r="BT157" s="496">
        <f>BT161+BT165</f>
        <v>0</v>
      </c>
      <c r="BU157" s="90"/>
      <c r="BV157" s="101"/>
      <c r="BW157" s="398"/>
    </row>
    <row r="158" spans="1:78" ht="12.75" hidden="1" customHeight="1" x14ac:dyDescent="0.2">
      <c r="A158" s="388"/>
      <c r="B158" s="388"/>
      <c r="C158" s="388"/>
      <c r="D158" s="398"/>
      <c r="E158" s="404"/>
      <c r="F158" s="388"/>
      <c r="G158" s="101"/>
      <c r="H158" s="101"/>
      <c r="I158" s="101"/>
      <c r="J158" s="487"/>
      <c r="K158" s="101"/>
      <c r="L158" s="101"/>
      <c r="M158" s="101"/>
      <c r="N158" s="101"/>
      <c r="O158" s="487"/>
      <c r="P158" s="101"/>
      <c r="Q158" s="101"/>
      <c r="R158" s="101"/>
      <c r="S158" s="101"/>
      <c r="T158" s="487"/>
      <c r="U158" s="101"/>
      <c r="V158" s="101"/>
      <c r="W158" s="101"/>
      <c r="X158" s="101"/>
      <c r="Y158" s="487"/>
      <c r="Z158" s="101"/>
      <c r="AA158" s="101"/>
      <c r="AB158" s="101"/>
      <c r="AC158" s="101"/>
      <c r="AD158" s="487"/>
      <c r="AE158" s="101"/>
      <c r="AF158" s="101"/>
      <c r="AG158" s="101"/>
      <c r="AH158" s="101"/>
      <c r="AI158" s="487"/>
      <c r="AJ158" s="101"/>
      <c r="AK158" s="101"/>
      <c r="AL158" s="101"/>
      <c r="AM158" s="101"/>
      <c r="AN158" s="487"/>
      <c r="AO158" s="101"/>
      <c r="AP158" s="101"/>
      <c r="AQ158" s="101"/>
      <c r="AR158" s="101"/>
      <c r="AS158" s="487"/>
      <c r="AT158" s="101"/>
      <c r="AU158" s="101"/>
      <c r="AV158" s="101"/>
      <c r="AW158" s="101"/>
      <c r="AX158" s="487"/>
      <c r="AY158" s="101"/>
      <c r="AZ158" s="101"/>
      <c r="BA158" s="101"/>
      <c r="BB158" s="101"/>
      <c r="BC158" s="487"/>
      <c r="BD158" s="101"/>
      <c r="BE158" s="101"/>
      <c r="BF158" s="101"/>
      <c r="BG158" s="101"/>
      <c r="BH158" s="487"/>
      <c r="BI158" s="101"/>
      <c r="BJ158" s="101"/>
      <c r="BK158" s="101"/>
      <c r="BL158" s="101"/>
      <c r="BM158" s="487"/>
      <c r="BN158" s="101"/>
      <c r="BO158" s="101"/>
      <c r="BP158" s="101"/>
      <c r="BQ158" s="101"/>
      <c r="BR158" s="487"/>
      <c r="BS158" s="101"/>
      <c r="BT158" s="101"/>
      <c r="BU158" s="101"/>
      <c r="BV158" s="101"/>
      <c r="BW158" s="398"/>
    </row>
    <row r="159" spans="1:78" ht="12.75" hidden="1" customHeight="1" x14ac:dyDescent="0.2">
      <c r="A159" s="388"/>
      <c r="B159" s="388"/>
      <c r="C159" s="388"/>
      <c r="D159" s="398" t="s">
        <v>509</v>
      </c>
      <c r="E159" s="404"/>
      <c r="F159" s="388"/>
      <c r="G159" s="101">
        <v>0</v>
      </c>
      <c r="H159" s="101"/>
      <c r="I159" s="101"/>
      <c r="J159" s="487"/>
      <c r="K159" s="101"/>
      <c r="L159" s="101">
        <f>SUM(L160:L161)</f>
        <v>0</v>
      </c>
      <c r="M159" s="101"/>
      <c r="N159" s="101"/>
      <c r="O159" s="487"/>
      <c r="P159" s="101"/>
      <c r="Q159" s="101">
        <f>SUM(Q160:Q161)</f>
        <v>0</v>
      </c>
      <c r="R159" s="101"/>
      <c r="S159" s="101"/>
      <c r="T159" s="487"/>
      <c r="U159" s="101"/>
      <c r="V159" s="101">
        <f>SUM(V160:V161)</f>
        <v>0</v>
      </c>
      <c r="W159" s="101"/>
      <c r="X159" s="101"/>
      <c r="Y159" s="487"/>
      <c r="Z159" s="101"/>
      <c r="AA159" s="101">
        <f>SUM(AA160:AA161)</f>
        <v>0</v>
      </c>
      <c r="AB159" s="101"/>
      <c r="AC159" s="101"/>
      <c r="AD159" s="487"/>
      <c r="AE159" s="101"/>
      <c r="AF159" s="101">
        <f>SUM(AF160:AF161)</f>
        <v>0</v>
      </c>
      <c r="AG159" s="101"/>
      <c r="AH159" s="101"/>
      <c r="AI159" s="487"/>
      <c r="AJ159" s="101"/>
      <c r="AK159" s="101">
        <f>SUM(AK160:AK161)</f>
        <v>0</v>
      </c>
      <c r="AL159" s="101"/>
      <c r="AM159" s="101"/>
      <c r="AN159" s="487"/>
      <c r="AO159" s="101"/>
      <c r="AP159" s="101">
        <f>SUM(AP160:AP161)</f>
        <v>0</v>
      </c>
      <c r="AQ159" s="101"/>
      <c r="AR159" s="101"/>
      <c r="AS159" s="487"/>
      <c r="AT159" s="101"/>
      <c r="AU159" s="101">
        <f>SUM(AU160:AU161)</f>
        <v>0</v>
      </c>
      <c r="AV159" s="101"/>
      <c r="AW159" s="101"/>
      <c r="AX159" s="487"/>
      <c r="AY159" s="101"/>
      <c r="AZ159" s="101">
        <f>SUM(AZ160:AZ161)</f>
        <v>0</v>
      </c>
      <c r="BA159" s="101"/>
      <c r="BB159" s="101"/>
      <c r="BC159" s="487"/>
      <c r="BD159" s="101"/>
      <c r="BE159" s="101">
        <f>SUM(BE160:BE161)</f>
        <v>0</v>
      </c>
      <c r="BF159" s="101"/>
      <c r="BG159" s="101"/>
      <c r="BH159" s="487"/>
      <c r="BI159" s="101"/>
      <c r="BJ159" s="101">
        <f>SUM(BJ160:BJ161)</f>
        <v>0</v>
      </c>
      <c r="BK159" s="101"/>
      <c r="BL159" s="101"/>
      <c r="BM159" s="487"/>
      <c r="BN159" s="101"/>
      <c r="BO159" s="101">
        <f>SUM(BO160:BO161)</f>
        <v>0</v>
      </c>
      <c r="BP159" s="101"/>
      <c r="BQ159" s="101"/>
      <c r="BR159" s="487"/>
      <c r="BS159" s="101"/>
      <c r="BT159" s="101">
        <f>SUM(BT160:BT161)</f>
        <v>0</v>
      </c>
      <c r="BU159" s="101"/>
      <c r="BV159" s="101"/>
      <c r="BW159" s="398"/>
    </row>
    <row r="160" spans="1:78" ht="12.75" hidden="1" customHeight="1" x14ac:dyDescent="0.2">
      <c r="A160" s="388"/>
      <c r="B160" s="388"/>
      <c r="C160" s="388"/>
      <c r="D160" s="398" t="s">
        <v>495</v>
      </c>
      <c r="E160" s="404"/>
      <c r="F160" s="412"/>
      <c r="G160" s="485">
        <v>0</v>
      </c>
      <c r="H160" s="486"/>
      <c r="I160" s="101"/>
      <c r="J160" s="487"/>
      <c r="K160" s="488"/>
      <c r="L160" s="485">
        <v>0</v>
      </c>
      <c r="M160" s="486"/>
      <c r="N160" s="101"/>
      <c r="O160" s="487"/>
      <c r="P160" s="488"/>
      <c r="Q160" s="485">
        <v>0</v>
      </c>
      <c r="R160" s="486"/>
      <c r="S160" s="101"/>
      <c r="T160" s="487"/>
      <c r="U160" s="488"/>
      <c r="V160" s="485">
        <v>0</v>
      </c>
      <c r="W160" s="486"/>
      <c r="X160" s="101"/>
      <c r="Y160" s="487"/>
      <c r="Z160" s="488"/>
      <c r="AA160" s="485">
        <v>0</v>
      </c>
      <c r="AB160" s="486"/>
      <c r="AC160" s="101"/>
      <c r="AD160" s="487"/>
      <c r="AE160" s="488"/>
      <c r="AF160" s="485">
        <v>0</v>
      </c>
      <c r="AG160" s="486"/>
      <c r="AH160" s="101"/>
      <c r="AI160" s="487"/>
      <c r="AJ160" s="488"/>
      <c r="AK160" s="485">
        <v>0</v>
      </c>
      <c r="AL160" s="486"/>
      <c r="AM160" s="101"/>
      <c r="AN160" s="487"/>
      <c r="AO160" s="488"/>
      <c r="AP160" s="485">
        <v>0</v>
      </c>
      <c r="AQ160" s="486"/>
      <c r="AR160" s="101"/>
      <c r="AS160" s="487"/>
      <c r="AT160" s="488"/>
      <c r="AU160" s="485">
        <v>0</v>
      </c>
      <c r="AV160" s="486"/>
      <c r="AW160" s="101"/>
      <c r="AX160" s="487"/>
      <c r="AY160" s="488"/>
      <c r="AZ160" s="485">
        <v>0</v>
      </c>
      <c r="BA160" s="486"/>
      <c r="BB160" s="101"/>
      <c r="BC160" s="487"/>
      <c r="BD160" s="488"/>
      <c r="BE160" s="485">
        <v>0</v>
      </c>
      <c r="BF160" s="486"/>
      <c r="BG160" s="101"/>
      <c r="BH160" s="487"/>
      <c r="BI160" s="488"/>
      <c r="BJ160" s="485">
        <v>0</v>
      </c>
      <c r="BK160" s="486"/>
      <c r="BL160" s="101"/>
      <c r="BM160" s="487"/>
      <c r="BN160" s="488"/>
      <c r="BO160" s="485">
        <v>0</v>
      </c>
      <c r="BP160" s="486"/>
      <c r="BQ160" s="101"/>
      <c r="BR160" s="487"/>
      <c r="BS160" s="488"/>
      <c r="BT160" s="485">
        <f>SUM(L160:BO160)</f>
        <v>0</v>
      </c>
      <c r="BU160" s="486"/>
      <c r="BV160" s="101"/>
      <c r="BW160" s="398"/>
    </row>
    <row r="161" spans="1:78" ht="12.75" hidden="1" customHeight="1" x14ac:dyDescent="0.2">
      <c r="A161" s="388"/>
      <c r="B161" s="388"/>
      <c r="C161" s="388"/>
      <c r="D161" s="398" t="s">
        <v>496</v>
      </c>
      <c r="E161" s="404"/>
      <c r="F161" s="427"/>
      <c r="G161" s="496">
        <v>0</v>
      </c>
      <c r="H161" s="90"/>
      <c r="I161" s="101"/>
      <c r="J161" s="487"/>
      <c r="K161" s="497"/>
      <c r="L161" s="496">
        <v>0</v>
      </c>
      <c r="M161" s="90"/>
      <c r="N161" s="101"/>
      <c r="O161" s="487"/>
      <c r="P161" s="497"/>
      <c r="Q161" s="496">
        <v>0</v>
      </c>
      <c r="R161" s="90"/>
      <c r="S161" s="101"/>
      <c r="T161" s="487"/>
      <c r="U161" s="497"/>
      <c r="V161" s="496">
        <v>0</v>
      </c>
      <c r="W161" s="90"/>
      <c r="X161" s="101"/>
      <c r="Y161" s="487"/>
      <c r="Z161" s="497"/>
      <c r="AA161" s="496">
        <v>0</v>
      </c>
      <c r="AB161" s="90"/>
      <c r="AC161" s="101"/>
      <c r="AD161" s="487"/>
      <c r="AE161" s="497"/>
      <c r="AF161" s="496">
        <v>0</v>
      </c>
      <c r="AG161" s="90"/>
      <c r="AH161" s="101"/>
      <c r="AI161" s="487"/>
      <c r="AJ161" s="497"/>
      <c r="AK161" s="496">
        <v>0</v>
      </c>
      <c r="AL161" s="90"/>
      <c r="AM161" s="101"/>
      <c r="AN161" s="487"/>
      <c r="AO161" s="497"/>
      <c r="AP161" s="496">
        <v>0</v>
      </c>
      <c r="AQ161" s="90"/>
      <c r="AR161" s="101"/>
      <c r="AS161" s="487"/>
      <c r="AT161" s="497"/>
      <c r="AU161" s="496">
        <v>0</v>
      </c>
      <c r="AV161" s="90"/>
      <c r="AW161" s="101"/>
      <c r="AX161" s="487"/>
      <c r="AY161" s="497"/>
      <c r="AZ161" s="496">
        <v>0</v>
      </c>
      <c r="BA161" s="90"/>
      <c r="BB161" s="101"/>
      <c r="BC161" s="487"/>
      <c r="BD161" s="497"/>
      <c r="BE161" s="496">
        <v>0</v>
      </c>
      <c r="BF161" s="90"/>
      <c r="BG161" s="101"/>
      <c r="BH161" s="487"/>
      <c r="BI161" s="497"/>
      <c r="BJ161" s="496">
        <v>0</v>
      </c>
      <c r="BK161" s="90"/>
      <c r="BL161" s="101"/>
      <c r="BM161" s="487"/>
      <c r="BN161" s="497"/>
      <c r="BO161" s="496">
        <v>0</v>
      </c>
      <c r="BP161" s="90"/>
      <c r="BQ161" s="101"/>
      <c r="BR161" s="487"/>
      <c r="BS161" s="497"/>
      <c r="BT161" s="496">
        <f>SUM(L161:BO161)</f>
        <v>0</v>
      </c>
      <c r="BU161" s="90"/>
      <c r="BV161" s="101"/>
      <c r="BW161" s="398"/>
    </row>
    <row r="162" spans="1:78" ht="12.75" hidden="1" customHeight="1" x14ac:dyDescent="0.2">
      <c r="A162" s="388"/>
      <c r="B162" s="388"/>
      <c r="C162" s="388"/>
      <c r="D162" s="398"/>
      <c r="E162" s="404"/>
      <c r="F162" s="388"/>
      <c r="G162" s="101"/>
      <c r="H162" s="101"/>
      <c r="I162" s="101"/>
      <c r="J162" s="487"/>
      <c r="K162" s="101"/>
      <c r="L162" s="101"/>
      <c r="M162" s="101"/>
      <c r="N162" s="101"/>
      <c r="O162" s="487"/>
      <c r="P162" s="101"/>
      <c r="Q162" s="101"/>
      <c r="R162" s="101"/>
      <c r="S162" s="101"/>
      <c r="T162" s="487"/>
      <c r="U162" s="101"/>
      <c r="V162" s="101"/>
      <c r="W162" s="101"/>
      <c r="X162" s="101"/>
      <c r="Y162" s="487"/>
      <c r="Z162" s="101"/>
      <c r="AA162" s="101"/>
      <c r="AB162" s="101"/>
      <c r="AC162" s="101"/>
      <c r="AD162" s="487"/>
      <c r="AE162" s="101"/>
      <c r="AF162" s="101"/>
      <c r="AG162" s="101"/>
      <c r="AH162" s="101"/>
      <c r="AI162" s="487"/>
      <c r="AJ162" s="101"/>
      <c r="AK162" s="101"/>
      <c r="AL162" s="101"/>
      <c r="AM162" s="101"/>
      <c r="AN162" s="487"/>
      <c r="AO162" s="101"/>
      <c r="AP162" s="101"/>
      <c r="AQ162" s="101"/>
      <c r="AR162" s="101"/>
      <c r="AS162" s="487"/>
      <c r="AT162" s="101"/>
      <c r="AU162" s="101"/>
      <c r="AV162" s="101"/>
      <c r="AW162" s="101"/>
      <c r="AX162" s="487"/>
      <c r="AY162" s="101"/>
      <c r="AZ162" s="101"/>
      <c r="BA162" s="101"/>
      <c r="BB162" s="101"/>
      <c r="BC162" s="487"/>
      <c r="BD162" s="101"/>
      <c r="BE162" s="101"/>
      <c r="BF162" s="101"/>
      <c r="BG162" s="101"/>
      <c r="BH162" s="487"/>
      <c r="BI162" s="101"/>
      <c r="BJ162" s="101"/>
      <c r="BK162" s="101"/>
      <c r="BL162" s="101"/>
      <c r="BM162" s="487"/>
      <c r="BN162" s="101"/>
      <c r="BO162" s="101"/>
      <c r="BP162" s="101"/>
      <c r="BQ162" s="101"/>
      <c r="BR162" s="487"/>
      <c r="BS162" s="101"/>
      <c r="BT162" s="101"/>
      <c r="BU162" s="101"/>
      <c r="BV162" s="101"/>
      <c r="BW162" s="398"/>
    </row>
    <row r="163" spans="1:78" ht="12.75" hidden="1" customHeight="1" x14ac:dyDescent="0.2">
      <c r="A163" s="388"/>
      <c r="B163" s="388"/>
      <c r="C163" s="388"/>
      <c r="D163" s="398" t="s">
        <v>510</v>
      </c>
      <c r="E163" s="404"/>
      <c r="F163" s="388"/>
      <c r="G163" s="101">
        <v>0</v>
      </c>
      <c r="H163" s="101"/>
      <c r="I163" s="101"/>
      <c r="J163" s="487"/>
      <c r="K163" s="101"/>
      <c r="L163" s="101">
        <f>SUM(L164:L165)</f>
        <v>0</v>
      </c>
      <c r="M163" s="101"/>
      <c r="N163" s="101"/>
      <c r="O163" s="487"/>
      <c r="P163" s="101"/>
      <c r="Q163" s="101">
        <f>SUM(Q164:Q165)</f>
        <v>0</v>
      </c>
      <c r="R163" s="101"/>
      <c r="S163" s="101"/>
      <c r="T163" s="487"/>
      <c r="U163" s="101"/>
      <c r="V163" s="101">
        <f>SUM(V164:V165)</f>
        <v>0</v>
      </c>
      <c r="W163" s="101"/>
      <c r="X163" s="101"/>
      <c r="Y163" s="487"/>
      <c r="Z163" s="101"/>
      <c r="AA163" s="101">
        <f>SUM(AA164:AA165)</f>
        <v>0</v>
      </c>
      <c r="AB163" s="101"/>
      <c r="AC163" s="101"/>
      <c r="AD163" s="487"/>
      <c r="AE163" s="101"/>
      <c r="AF163" s="101">
        <f>SUM(AF164:AF165)</f>
        <v>0</v>
      </c>
      <c r="AG163" s="101"/>
      <c r="AH163" s="101"/>
      <c r="AI163" s="487"/>
      <c r="AJ163" s="101"/>
      <c r="AK163" s="101">
        <f>SUM(AK164:AK165)</f>
        <v>0</v>
      </c>
      <c r="AL163" s="101"/>
      <c r="AM163" s="101"/>
      <c r="AN163" s="487"/>
      <c r="AO163" s="101"/>
      <c r="AP163" s="101">
        <f>SUM(AP164:AP165)</f>
        <v>0</v>
      </c>
      <c r="AQ163" s="101"/>
      <c r="AR163" s="101"/>
      <c r="AS163" s="487"/>
      <c r="AT163" s="101"/>
      <c r="AU163" s="101">
        <f>SUM(AU164:AU165)</f>
        <v>0</v>
      </c>
      <c r="AV163" s="101"/>
      <c r="AW163" s="101"/>
      <c r="AX163" s="487"/>
      <c r="AY163" s="101"/>
      <c r="AZ163" s="101">
        <f>SUM(AZ164:AZ165)</f>
        <v>0</v>
      </c>
      <c r="BA163" s="101"/>
      <c r="BB163" s="101"/>
      <c r="BC163" s="487"/>
      <c r="BD163" s="101"/>
      <c r="BE163" s="101">
        <f>SUM(BE164:BE165)</f>
        <v>0</v>
      </c>
      <c r="BF163" s="101"/>
      <c r="BG163" s="101"/>
      <c r="BH163" s="487"/>
      <c r="BI163" s="101"/>
      <c r="BJ163" s="101">
        <f>SUM(BJ164:BJ165)</f>
        <v>0</v>
      </c>
      <c r="BK163" s="101"/>
      <c r="BL163" s="101"/>
      <c r="BM163" s="487"/>
      <c r="BN163" s="101"/>
      <c r="BO163" s="101">
        <f>SUM(BO164:BO165)</f>
        <v>0</v>
      </c>
      <c r="BP163" s="101"/>
      <c r="BQ163" s="101"/>
      <c r="BR163" s="487"/>
      <c r="BS163" s="101"/>
      <c r="BT163" s="101">
        <f>SUM(BT164:BT165)</f>
        <v>0</v>
      </c>
      <c r="BU163" s="101"/>
      <c r="BV163" s="101"/>
      <c r="BW163" s="398"/>
    </row>
    <row r="164" spans="1:78" ht="12.75" hidden="1" customHeight="1" x14ac:dyDescent="0.2">
      <c r="A164" s="388"/>
      <c r="B164" s="388"/>
      <c r="C164" s="388"/>
      <c r="D164" s="398" t="s">
        <v>495</v>
      </c>
      <c r="E164" s="404"/>
      <c r="F164" s="412"/>
      <c r="G164" s="485">
        <v>0</v>
      </c>
      <c r="H164" s="486"/>
      <c r="I164" s="101"/>
      <c r="J164" s="487"/>
      <c r="K164" s="488"/>
      <c r="L164" s="485">
        <v>0</v>
      </c>
      <c r="M164" s="486"/>
      <c r="N164" s="101"/>
      <c r="O164" s="487"/>
      <c r="P164" s="488"/>
      <c r="Q164" s="485">
        <v>0</v>
      </c>
      <c r="R164" s="486"/>
      <c r="S164" s="101"/>
      <c r="T164" s="487"/>
      <c r="U164" s="488"/>
      <c r="V164" s="485">
        <v>0</v>
      </c>
      <c r="W164" s="486"/>
      <c r="X164" s="101"/>
      <c r="Y164" s="487"/>
      <c r="Z164" s="488"/>
      <c r="AA164" s="485">
        <v>0</v>
      </c>
      <c r="AB164" s="486"/>
      <c r="AC164" s="101"/>
      <c r="AD164" s="487"/>
      <c r="AE164" s="488"/>
      <c r="AF164" s="485">
        <v>0</v>
      </c>
      <c r="AG164" s="486"/>
      <c r="AH164" s="101"/>
      <c r="AI164" s="487"/>
      <c r="AJ164" s="488"/>
      <c r="AK164" s="485">
        <v>0</v>
      </c>
      <c r="AL164" s="486"/>
      <c r="AM164" s="101"/>
      <c r="AN164" s="487"/>
      <c r="AO164" s="488"/>
      <c r="AP164" s="485">
        <v>0</v>
      </c>
      <c r="AQ164" s="486"/>
      <c r="AR164" s="101"/>
      <c r="AS164" s="487"/>
      <c r="AT164" s="488"/>
      <c r="AU164" s="485">
        <v>0</v>
      </c>
      <c r="AV164" s="486"/>
      <c r="AW164" s="101"/>
      <c r="AX164" s="487"/>
      <c r="AY164" s="488"/>
      <c r="AZ164" s="485">
        <v>0</v>
      </c>
      <c r="BA164" s="486"/>
      <c r="BB164" s="101"/>
      <c r="BC164" s="487"/>
      <c r="BD164" s="488"/>
      <c r="BE164" s="485">
        <v>0</v>
      </c>
      <c r="BF164" s="486"/>
      <c r="BG164" s="101"/>
      <c r="BH164" s="487"/>
      <c r="BI164" s="488"/>
      <c r="BJ164" s="485">
        <v>0</v>
      </c>
      <c r="BK164" s="486"/>
      <c r="BL164" s="101"/>
      <c r="BM164" s="487"/>
      <c r="BN164" s="488"/>
      <c r="BO164" s="485">
        <v>0</v>
      </c>
      <c r="BP164" s="486"/>
      <c r="BQ164" s="101"/>
      <c r="BR164" s="487"/>
      <c r="BS164" s="488"/>
      <c r="BT164" s="485">
        <f>SUM(L164:BO164)</f>
        <v>0</v>
      </c>
      <c r="BU164" s="486"/>
      <c r="BV164" s="101"/>
      <c r="BW164" s="398"/>
    </row>
    <row r="165" spans="1:78" ht="12.75" hidden="1" customHeight="1" x14ac:dyDescent="0.2">
      <c r="A165" s="388"/>
      <c r="B165" s="388"/>
      <c r="C165" s="388"/>
      <c r="D165" s="398" t="s">
        <v>496</v>
      </c>
      <c r="E165" s="404"/>
      <c r="F165" s="427"/>
      <c r="G165" s="496">
        <v>0</v>
      </c>
      <c r="H165" s="90"/>
      <c r="I165" s="101"/>
      <c r="J165" s="487"/>
      <c r="K165" s="497"/>
      <c r="L165" s="496">
        <v>0</v>
      </c>
      <c r="M165" s="90"/>
      <c r="N165" s="101"/>
      <c r="O165" s="487"/>
      <c r="P165" s="497"/>
      <c r="Q165" s="496">
        <v>0</v>
      </c>
      <c r="R165" s="90"/>
      <c r="S165" s="101"/>
      <c r="T165" s="487"/>
      <c r="U165" s="497"/>
      <c r="V165" s="496">
        <v>0</v>
      </c>
      <c r="W165" s="90"/>
      <c r="X165" s="101"/>
      <c r="Y165" s="487"/>
      <c r="Z165" s="497"/>
      <c r="AA165" s="496">
        <v>0</v>
      </c>
      <c r="AB165" s="90"/>
      <c r="AC165" s="101"/>
      <c r="AD165" s="487"/>
      <c r="AE165" s="497"/>
      <c r="AF165" s="496">
        <v>0</v>
      </c>
      <c r="AG165" s="90"/>
      <c r="AH165" s="101"/>
      <c r="AI165" s="487"/>
      <c r="AJ165" s="497"/>
      <c r="AK165" s="496">
        <v>0</v>
      </c>
      <c r="AL165" s="90"/>
      <c r="AM165" s="101"/>
      <c r="AN165" s="487"/>
      <c r="AO165" s="497"/>
      <c r="AP165" s="496">
        <v>0</v>
      </c>
      <c r="AQ165" s="90"/>
      <c r="AR165" s="101"/>
      <c r="AS165" s="487"/>
      <c r="AT165" s="497"/>
      <c r="AU165" s="496">
        <v>0</v>
      </c>
      <c r="AV165" s="90"/>
      <c r="AW165" s="101"/>
      <c r="AX165" s="487"/>
      <c r="AY165" s="497"/>
      <c r="AZ165" s="496">
        <v>0</v>
      </c>
      <c r="BA165" s="90"/>
      <c r="BB165" s="101"/>
      <c r="BC165" s="487"/>
      <c r="BD165" s="497"/>
      <c r="BE165" s="496">
        <v>0</v>
      </c>
      <c r="BF165" s="90"/>
      <c r="BG165" s="101"/>
      <c r="BH165" s="487"/>
      <c r="BI165" s="497"/>
      <c r="BJ165" s="496">
        <v>0</v>
      </c>
      <c r="BK165" s="90"/>
      <c r="BL165" s="101"/>
      <c r="BM165" s="487"/>
      <c r="BN165" s="497"/>
      <c r="BO165" s="496">
        <v>0</v>
      </c>
      <c r="BP165" s="90"/>
      <c r="BQ165" s="101"/>
      <c r="BR165" s="487"/>
      <c r="BS165" s="497"/>
      <c r="BT165" s="496">
        <f>SUM(L165:BO165)</f>
        <v>0</v>
      </c>
      <c r="BU165" s="90"/>
      <c r="BV165" s="101"/>
      <c r="BW165" s="398"/>
    </row>
    <row r="166" spans="1:78" ht="12.75" hidden="1" x14ac:dyDescent="0.2">
      <c r="A166" s="388"/>
      <c r="B166" s="388"/>
      <c r="C166" s="388"/>
      <c r="D166" s="398"/>
      <c r="E166" s="404"/>
      <c r="F166" s="388"/>
      <c r="G166" s="101"/>
      <c r="H166" s="101"/>
      <c r="I166" s="101"/>
      <c r="J166" s="487"/>
      <c r="K166" s="101"/>
      <c r="L166" s="101"/>
      <c r="M166" s="101"/>
      <c r="N166" s="101"/>
      <c r="O166" s="487"/>
      <c r="P166" s="101"/>
      <c r="Q166" s="101"/>
      <c r="R166" s="101"/>
      <c r="S166" s="101"/>
      <c r="T166" s="487"/>
      <c r="U166" s="101"/>
      <c r="V166" s="101"/>
      <c r="W166" s="101"/>
      <c r="X166" s="101"/>
      <c r="Y166" s="487"/>
      <c r="Z166" s="101"/>
      <c r="AA166" s="101"/>
      <c r="AB166" s="101"/>
      <c r="AC166" s="101"/>
      <c r="AD166" s="487"/>
      <c r="AE166" s="101"/>
      <c r="AF166" s="101"/>
      <c r="AG166" s="101"/>
      <c r="AH166" s="101"/>
      <c r="AI166" s="487"/>
      <c r="AJ166" s="101"/>
      <c r="AK166" s="101"/>
      <c r="AL166" s="101"/>
      <c r="AM166" s="101"/>
      <c r="AN166" s="487"/>
      <c r="AO166" s="101"/>
      <c r="AP166" s="101"/>
      <c r="AQ166" s="101"/>
      <c r="AR166" s="101"/>
      <c r="AS166" s="487"/>
      <c r="AT166" s="101"/>
      <c r="AU166" s="101"/>
      <c r="AV166" s="101"/>
      <c r="AW166" s="101"/>
      <c r="AX166" s="487"/>
      <c r="AY166" s="101"/>
      <c r="AZ166" s="101"/>
      <c r="BA166" s="101"/>
      <c r="BB166" s="101"/>
      <c r="BC166" s="487"/>
      <c r="BD166" s="101"/>
      <c r="BE166" s="101"/>
      <c r="BF166" s="101"/>
      <c r="BG166" s="101"/>
      <c r="BH166" s="487"/>
      <c r="BI166" s="101"/>
      <c r="BJ166" s="101"/>
      <c r="BK166" s="101"/>
      <c r="BL166" s="101"/>
      <c r="BM166" s="487"/>
      <c r="BN166" s="101"/>
      <c r="BO166" s="101"/>
      <c r="BP166" s="101"/>
      <c r="BQ166" s="101"/>
      <c r="BR166" s="487"/>
      <c r="BS166" s="101"/>
      <c r="BT166" s="101"/>
      <c r="BU166" s="101"/>
      <c r="BV166" s="101"/>
      <c r="BW166" s="398"/>
    </row>
    <row r="167" spans="1:78" s="411" customFormat="1" ht="12.75" hidden="1" x14ac:dyDescent="0.2">
      <c r="A167" s="389"/>
      <c r="B167" s="389"/>
      <c r="C167" s="389"/>
      <c r="D167" s="405" t="s">
        <v>511</v>
      </c>
      <c r="E167" s="407"/>
      <c r="F167" s="389"/>
      <c r="G167" s="482">
        <v>0</v>
      </c>
      <c r="H167" s="482"/>
      <c r="I167" s="482"/>
      <c r="J167" s="483"/>
      <c r="K167" s="482"/>
      <c r="L167" s="482">
        <f>SUM(L168:L169)</f>
        <v>0</v>
      </c>
      <c r="M167" s="482"/>
      <c r="N167" s="482"/>
      <c r="O167" s="483"/>
      <c r="P167" s="482"/>
      <c r="Q167" s="482">
        <f>SUM(Q168:Q169)</f>
        <v>0</v>
      </c>
      <c r="R167" s="482"/>
      <c r="S167" s="482"/>
      <c r="T167" s="483"/>
      <c r="U167" s="482"/>
      <c r="V167" s="482">
        <f>SUM(V168:V169)</f>
        <v>0</v>
      </c>
      <c r="W167" s="482"/>
      <c r="X167" s="482"/>
      <c r="Y167" s="483"/>
      <c r="Z167" s="482"/>
      <c r="AA167" s="482">
        <f>SUM(AA168:AA169)</f>
        <v>0</v>
      </c>
      <c r="AB167" s="482"/>
      <c r="AC167" s="482"/>
      <c r="AD167" s="483"/>
      <c r="AE167" s="482"/>
      <c r="AF167" s="482">
        <f>SUM(AF168:AF169)</f>
        <v>0</v>
      </c>
      <c r="AG167" s="482"/>
      <c r="AH167" s="482"/>
      <c r="AI167" s="483"/>
      <c r="AJ167" s="482"/>
      <c r="AK167" s="482">
        <f>SUM(AK168:AK169)</f>
        <v>0</v>
      </c>
      <c r="AL167" s="482"/>
      <c r="AM167" s="482"/>
      <c r="AN167" s="483"/>
      <c r="AO167" s="482"/>
      <c r="AP167" s="482">
        <f>SUM(AP168:AP169)</f>
        <v>0</v>
      </c>
      <c r="AQ167" s="482"/>
      <c r="AR167" s="482"/>
      <c r="AS167" s="483"/>
      <c r="AT167" s="482"/>
      <c r="AU167" s="482">
        <f>SUM(AU168:AU169)</f>
        <v>0</v>
      </c>
      <c r="AV167" s="482"/>
      <c r="AW167" s="482"/>
      <c r="AX167" s="483"/>
      <c r="AY167" s="482"/>
      <c r="AZ167" s="482">
        <f>SUM(AZ168:AZ169)</f>
        <v>0</v>
      </c>
      <c r="BA167" s="482"/>
      <c r="BB167" s="482"/>
      <c r="BC167" s="483"/>
      <c r="BD167" s="482"/>
      <c r="BE167" s="482">
        <f>SUM(BE168:BE169)</f>
        <v>0</v>
      </c>
      <c r="BF167" s="482"/>
      <c r="BG167" s="482"/>
      <c r="BH167" s="483"/>
      <c r="BI167" s="482"/>
      <c r="BJ167" s="482">
        <f>SUM(BJ168:BJ169)</f>
        <v>0</v>
      </c>
      <c r="BK167" s="482"/>
      <c r="BL167" s="482"/>
      <c r="BM167" s="483"/>
      <c r="BN167" s="482"/>
      <c r="BO167" s="482">
        <f>SUM(BO168:BO169)</f>
        <v>0</v>
      </c>
      <c r="BP167" s="482"/>
      <c r="BQ167" s="482"/>
      <c r="BR167" s="483"/>
      <c r="BS167" s="482"/>
      <c r="BT167" s="482">
        <f>SUM(BT168:BT169)</f>
        <v>0</v>
      </c>
      <c r="BU167" s="482"/>
      <c r="BV167" s="482"/>
      <c r="BW167" s="405"/>
      <c r="BY167" s="38"/>
      <c r="BZ167" s="38"/>
    </row>
    <row r="168" spans="1:78" ht="12.75" hidden="1" x14ac:dyDescent="0.2">
      <c r="A168" s="388"/>
      <c r="B168" s="388"/>
      <c r="C168" s="388"/>
      <c r="D168" s="398" t="s">
        <v>495</v>
      </c>
      <c r="E168" s="404"/>
      <c r="F168" s="412"/>
      <c r="G168" s="485">
        <v>0</v>
      </c>
      <c r="H168" s="486"/>
      <c r="I168" s="101"/>
      <c r="J168" s="487"/>
      <c r="K168" s="488"/>
      <c r="L168" s="485">
        <f>L172+L176+L180+L184</f>
        <v>0</v>
      </c>
      <c r="M168" s="486"/>
      <c r="N168" s="101"/>
      <c r="O168" s="487"/>
      <c r="P168" s="488"/>
      <c r="Q168" s="485">
        <f>Q172+Q176+Q180+Q184</f>
        <v>0</v>
      </c>
      <c r="R168" s="486"/>
      <c r="S168" s="101"/>
      <c r="T168" s="487"/>
      <c r="U168" s="488"/>
      <c r="V168" s="485">
        <f>V172+V176+V180+V184</f>
        <v>0</v>
      </c>
      <c r="W168" s="486"/>
      <c r="X168" s="101"/>
      <c r="Y168" s="487"/>
      <c r="Z168" s="488"/>
      <c r="AA168" s="485">
        <f>AA172+AA176+AA180+AA184</f>
        <v>0</v>
      </c>
      <c r="AB168" s="486"/>
      <c r="AC168" s="101"/>
      <c r="AD168" s="487"/>
      <c r="AE168" s="488"/>
      <c r="AF168" s="485">
        <f>AF172+AF176+AF180+AF184</f>
        <v>0</v>
      </c>
      <c r="AG168" s="486"/>
      <c r="AH168" s="101"/>
      <c r="AI168" s="487"/>
      <c r="AJ168" s="488"/>
      <c r="AK168" s="485">
        <f>AK172+AK176+AK180+AK184</f>
        <v>0</v>
      </c>
      <c r="AL168" s="486"/>
      <c r="AM168" s="101"/>
      <c r="AN168" s="487"/>
      <c r="AO168" s="488"/>
      <c r="AP168" s="485">
        <f>AP172+AP176+AP180+AP184</f>
        <v>0</v>
      </c>
      <c r="AQ168" s="486"/>
      <c r="AR168" s="101"/>
      <c r="AS168" s="487"/>
      <c r="AT168" s="488"/>
      <c r="AU168" s="485">
        <f>AU172+AU176+AU180+AU184</f>
        <v>0</v>
      </c>
      <c r="AV168" s="486"/>
      <c r="AW168" s="101"/>
      <c r="AX168" s="487"/>
      <c r="AY168" s="488"/>
      <c r="AZ168" s="485">
        <f>AZ172+AZ176+AZ180+AZ184</f>
        <v>0</v>
      </c>
      <c r="BA168" s="486"/>
      <c r="BB168" s="101"/>
      <c r="BC168" s="487"/>
      <c r="BD168" s="488"/>
      <c r="BE168" s="485">
        <f>BE172+BE176+BE180+BE184</f>
        <v>0</v>
      </c>
      <c r="BF168" s="486"/>
      <c r="BG168" s="101"/>
      <c r="BH168" s="487"/>
      <c r="BI168" s="488"/>
      <c r="BJ168" s="485">
        <f>BJ172+BJ176+BJ180+BJ184</f>
        <v>0</v>
      </c>
      <c r="BK168" s="486"/>
      <c r="BL168" s="101"/>
      <c r="BM168" s="487"/>
      <c r="BN168" s="488"/>
      <c r="BO168" s="485">
        <f>BO172+BO176+BO180+BO184</f>
        <v>0</v>
      </c>
      <c r="BP168" s="486"/>
      <c r="BQ168" s="101"/>
      <c r="BR168" s="487"/>
      <c r="BS168" s="488"/>
      <c r="BT168" s="485">
        <f>BT172+BT176+BT180+BT184</f>
        <v>0</v>
      </c>
      <c r="BU168" s="486"/>
      <c r="BV168" s="101"/>
      <c r="BW168" s="398"/>
    </row>
    <row r="169" spans="1:78" ht="12.75" hidden="1" x14ac:dyDescent="0.2">
      <c r="A169" s="388"/>
      <c r="B169" s="388"/>
      <c r="C169" s="388"/>
      <c r="D169" s="398" t="s">
        <v>496</v>
      </c>
      <c r="E169" s="404"/>
      <c r="F169" s="427"/>
      <c r="G169" s="496">
        <v>0</v>
      </c>
      <c r="H169" s="90"/>
      <c r="I169" s="101"/>
      <c r="J169" s="487"/>
      <c r="K169" s="497"/>
      <c r="L169" s="496">
        <f>L173+L177+L181+L185</f>
        <v>0</v>
      </c>
      <c r="M169" s="90"/>
      <c r="N169" s="101"/>
      <c r="O169" s="487"/>
      <c r="P169" s="497"/>
      <c r="Q169" s="496">
        <f>Q173+Q177+Q181+Q185</f>
        <v>0</v>
      </c>
      <c r="R169" s="90"/>
      <c r="S169" s="101"/>
      <c r="T169" s="487"/>
      <c r="U169" s="497"/>
      <c r="V169" s="496">
        <f>V173+V177+V181+V185</f>
        <v>0</v>
      </c>
      <c r="W169" s="90"/>
      <c r="X169" s="101"/>
      <c r="Y169" s="487"/>
      <c r="Z169" s="497"/>
      <c r="AA169" s="496">
        <f>AA173+AA177+AA181+AA185</f>
        <v>0</v>
      </c>
      <c r="AB169" s="90"/>
      <c r="AC169" s="101"/>
      <c r="AD169" s="487"/>
      <c r="AE169" s="497"/>
      <c r="AF169" s="496">
        <f>AF173+AF177+AF181+AF185</f>
        <v>0</v>
      </c>
      <c r="AG169" s="90"/>
      <c r="AH169" s="101"/>
      <c r="AI169" s="487"/>
      <c r="AJ169" s="497"/>
      <c r="AK169" s="496">
        <f>AK173+AK177+AK181+AK185</f>
        <v>0</v>
      </c>
      <c r="AL169" s="90"/>
      <c r="AM169" s="101"/>
      <c r="AN169" s="487"/>
      <c r="AO169" s="497"/>
      <c r="AP169" s="496">
        <f>AP173+AP177+AP181+AP185</f>
        <v>0</v>
      </c>
      <c r="AQ169" s="90"/>
      <c r="AR169" s="101"/>
      <c r="AS169" s="487"/>
      <c r="AT169" s="497"/>
      <c r="AU169" s="496">
        <f>AU173+AU177+AU181+AU185</f>
        <v>0</v>
      </c>
      <c r="AV169" s="90"/>
      <c r="AW169" s="101"/>
      <c r="AX169" s="487"/>
      <c r="AY169" s="497"/>
      <c r="AZ169" s="496">
        <f>AZ173+AZ177+AZ181+AZ185</f>
        <v>0</v>
      </c>
      <c r="BA169" s="90"/>
      <c r="BB169" s="101"/>
      <c r="BC169" s="487"/>
      <c r="BD169" s="497"/>
      <c r="BE169" s="496">
        <f>BE173+BE177+BE181+BE185</f>
        <v>0</v>
      </c>
      <c r="BF169" s="90"/>
      <c r="BG169" s="101"/>
      <c r="BH169" s="487"/>
      <c r="BI169" s="497"/>
      <c r="BJ169" s="496">
        <f>BJ173+BJ177+BJ181+BJ185</f>
        <v>0</v>
      </c>
      <c r="BK169" s="90"/>
      <c r="BL169" s="101"/>
      <c r="BM169" s="487"/>
      <c r="BN169" s="497"/>
      <c r="BO169" s="496">
        <f>BO173+BO177+BO181+BO185</f>
        <v>0</v>
      </c>
      <c r="BP169" s="90"/>
      <c r="BQ169" s="101"/>
      <c r="BR169" s="487"/>
      <c r="BS169" s="497"/>
      <c r="BT169" s="496">
        <f>BT173+BT177+BT181+BT185</f>
        <v>0</v>
      </c>
      <c r="BU169" s="90"/>
      <c r="BV169" s="101"/>
      <c r="BW169" s="398"/>
    </row>
    <row r="170" spans="1:78" ht="12.75" hidden="1" x14ac:dyDescent="0.2">
      <c r="A170" s="388"/>
      <c r="B170" s="388"/>
      <c r="C170" s="388"/>
      <c r="D170" s="398"/>
      <c r="E170" s="404"/>
      <c r="F170" s="388"/>
      <c r="G170" s="101"/>
      <c r="H170" s="101"/>
      <c r="I170" s="101"/>
      <c r="J170" s="487"/>
      <c r="K170" s="101"/>
      <c r="L170" s="101"/>
      <c r="M170" s="101"/>
      <c r="N170" s="101"/>
      <c r="O170" s="487"/>
      <c r="P170" s="101"/>
      <c r="Q170" s="101"/>
      <c r="R170" s="101"/>
      <c r="S170" s="101"/>
      <c r="T170" s="487"/>
      <c r="U170" s="101"/>
      <c r="V170" s="101"/>
      <c r="W170" s="101"/>
      <c r="X170" s="101"/>
      <c r="Y170" s="487"/>
      <c r="Z170" s="101"/>
      <c r="AA170" s="101"/>
      <c r="AB170" s="101"/>
      <c r="AC170" s="101"/>
      <c r="AD170" s="487"/>
      <c r="AE170" s="101"/>
      <c r="AF170" s="101"/>
      <c r="AG170" s="101"/>
      <c r="AH170" s="101"/>
      <c r="AI170" s="487"/>
      <c r="AJ170" s="101"/>
      <c r="AK170" s="101"/>
      <c r="AL170" s="101"/>
      <c r="AM170" s="101"/>
      <c r="AN170" s="487"/>
      <c r="AO170" s="101"/>
      <c r="AP170" s="101"/>
      <c r="AQ170" s="101"/>
      <c r="AR170" s="101"/>
      <c r="AS170" s="487"/>
      <c r="AT170" s="101"/>
      <c r="AU170" s="101"/>
      <c r="AV170" s="101"/>
      <c r="AW170" s="101"/>
      <c r="AX170" s="487"/>
      <c r="AY170" s="101"/>
      <c r="AZ170" s="101"/>
      <c r="BA170" s="101"/>
      <c r="BB170" s="101"/>
      <c r="BC170" s="487"/>
      <c r="BD170" s="101"/>
      <c r="BE170" s="101"/>
      <c r="BF170" s="101"/>
      <c r="BG170" s="101"/>
      <c r="BH170" s="487"/>
      <c r="BI170" s="101"/>
      <c r="BJ170" s="101"/>
      <c r="BK170" s="101"/>
      <c r="BL170" s="101"/>
      <c r="BM170" s="487"/>
      <c r="BN170" s="101"/>
      <c r="BO170" s="101"/>
      <c r="BP170" s="101"/>
      <c r="BQ170" s="101"/>
      <c r="BR170" s="487"/>
      <c r="BS170" s="101"/>
      <c r="BT170" s="101"/>
      <c r="BU170" s="101"/>
      <c r="BV170" s="101"/>
      <c r="BW170" s="398"/>
    </row>
    <row r="171" spans="1:78" ht="12.75" hidden="1" x14ac:dyDescent="0.2">
      <c r="A171" s="388"/>
      <c r="B171" s="388"/>
      <c r="C171" s="388"/>
      <c r="D171" s="398" t="s">
        <v>512</v>
      </c>
      <c r="E171" s="404"/>
      <c r="F171" s="388"/>
      <c r="G171" s="101">
        <v>0</v>
      </c>
      <c r="H171" s="101"/>
      <c r="I171" s="101"/>
      <c r="J171" s="487"/>
      <c r="K171" s="101"/>
      <c r="L171" s="101">
        <f>SUM(L172:L173)</f>
        <v>0</v>
      </c>
      <c r="M171" s="101"/>
      <c r="N171" s="101"/>
      <c r="O171" s="487"/>
      <c r="P171" s="101"/>
      <c r="Q171" s="101">
        <f>SUM(Q172:Q173)</f>
        <v>0</v>
      </c>
      <c r="R171" s="101"/>
      <c r="S171" s="101"/>
      <c r="T171" s="487"/>
      <c r="U171" s="101"/>
      <c r="V171" s="101">
        <f>SUM(V172:V173)</f>
        <v>0</v>
      </c>
      <c r="W171" s="101"/>
      <c r="X171" s="101"/>
      <c r="Y171" s="487"/>
      <c r="Z171" s="101"/>
      <c r="AA171" s="101">
        <f>SUM(AA172:AA173)</f>
        <v>0</v>
      </c>
      <c r="AB171" s="101"/>
      <c r="AC171" s="101"/>
      <c r="AD171" s="487"/>
      <c r="AE171" s="101"/>
      <c r="AF171" s="101">
        <f>SUM(AF172:AF173)</f>
        <v>0</v>
      </c>
      <c r="AG171" s="101"/>
      <c r="AH171" s="101"/>
      <c r="AI171" s="487"/>
      <c r="AJ171" s="101"/>
      <c r="AK171" s="101">
        <f>SUM(AK172:AK173)</f>
        <v>0</v>
      </c>
      <c r="AL171" s="101"/>
      <c r="AM171" s="101"/>
      <c r="AN171" s="487"/>
      <c r="AO171" s="101"/>
      <c r="AP171" s="101">
        <f>SUM(AP172:AP173)</f>
        <v>0</v>
      </c>
      <c r="AQ171" s="101"/>
      <c r="AR171" s="101"/>
      <c r="AS171" s="487"/>
      <c r="AT171" s="101"/>
      <c r="AU171" s="101">
        <f>SUM(AU172:AU173)</f>
        <v>0</v>
      </c>
      <c r="AV171" s="101"/>
      <c r="AW171" s="101"/>
      <c r="AX171" s="487"/>
      <c r="AY171" s="101"/>
      <c r="AZ171" s="101">
        <f>SUM(AZ172:AZ173)</f>
        <v>0</v>
      </c>
      <c r="BA171" s="101"/>
      <c r="BB171" s="101"/>
      <c r="BC171" s="487"/>
      <c r="BD171" s="101"/>
      <c r="BE171" s="101">
        <f>SUM(BE172:BE173)</f>
        <v>0</v>
      </c>
      <c r="BF171" s="101"/>
      <c r="BG171" s="101"/>
      <c r="BH171" s="487"/>
      <c r="BI171" s="101"/>
      <c r="BJ171" s="101">
        <f>SUM(BJ172:BJ173)</f>
        <v>0</v>
      </c>
      <c r="BK171" s="101"/>
      <c r="BL171" s="101"/>
      <c r="BM171" s="487"/>
      <c r="BN171" s="101"/>
      <c r="BO171" s="101">
        <f>SUM(BO172:BO173)</f>
        <v>0</v>
      </c>
      <c r="BP171" s="101"/>
      <c r="BQ171" s="101"/>
      <c r="BR171" s="487"/>
      <c r="BS171" s="101"/>
      <c r="BT171" s="101">
        <f>SUM(BT172:BT173)</f>
        <v>0</v>
      </c>
      <c r="BU171" s="101"/>
      <c r="BV171" s="101"/>
      <c r="BW171" s="398"/>
    </row>
    <row r="172" spans="1:78" ht="12.75" hidden="1" x14ac:dyDescent="0.2">
      <c r="A172" s="388"/>
      <c r="B172" s="388"/>
      <c r="C172" s="388"/>
      <c r="D172" s="398" t="s">
        <v>495</v>
      </c>
      <c r="E172" s="404"/>
      <c r="F172" s="412"/>
      <c r="G172" s="485">
        <v>0</v>
      </c>
      <c r="H172" s="486"/>
      <c r="I172" s="101"/>
      <c r="J172" s="487"/>
      <c r="K172" s="488"/>
      <c r="L172" s="485">
        <v>0</v>
      </c>
      <c r="M172" s="486"/>
      <c r="N172" s="101"/>
      <c r="O172" s="487"/>
      <c r="P172" s="488"/>
      <c r="Q172" s="485">
        <v>0</v>
      </c>
      <c r="R172" s="486"/>
      <c r="S172" s="101"/>
      <c r="T172" s="487"/>
      <c r="U172" s="488"/>
      <c r="V172" s="485">
        <v>0</v>
      </c>
      <c r="W172" s="486"/>
      <c r="X172" s="101"/>
      <c r="Y172" s="487"/>
      <c r="Z172" s="488"/>
      <c r="AA172" s="485">
        <v>0</v>
      </c>
      <c r="AB172" s="486"/>
      <c r="AC172" s="101"/>
      <c r="AD172" s="487"/>
      <c r="AE172" s="488"/>
      <c r="AF172" s="485">
        <v>0</v>
      </c>
      <c r="AG172" s="486"/>
      <c r="AH172" s="101"/>
      <c r="AI172" s="487"/>
      <c r="AJ172" s="488"/>
      <c r="AK172" s="485">
        <v>0</v>
      </c>
      <c r="AL172" s="486"/>
      <c r="AM172" s="101"/>
      <c r="AN172" s="487"/>
      <c r="AO172" s="488"/>
      <c r="AP172" s="485">
        <v>0</v>
      </c>
      <c r="AQ172" s="486"/>
      <c r="AR172" s="101"/>
      <c r="AS172" s="487"/>
      <c r="AT172" s="488"/>
      <c r="AU172" s="485">
        <v>0</v>
      </c>
      <c r="AV172" s="486"/>
      <c r="AW172" s="101"/>
      <c r="AX172" s="487"/>
      <c r="AY172" s="488"/>
      <c r="AZ172" s="485">
        <v>0</v>
      </c>
      <c r="BA172" s="486"/>
      <c r="BB172" s="101"/>
      <c r="BC172" s="487"/>
      <c r="BD172" s="488"/>
      <c r="BE172" s="485">
        <v>0</v>
      </c>
      <c r="BF172" s="486"/>
      <c r="BG172" s="101"/>
      <c r="BH172" s="487"/>
      <c r="BI172" s="488"/>
      <c r="BJ172" s="485">
        <v>0</v>
      </c>
      <c r="BK172" s="486"/>
      <c r="BL172" s="101"/>
      <c r="BM172" s="487"/>
      <c r="BN172" s="488"/>
      <c r="BO172" s="485">
        <v>0</v>
      </c>
      <c r="BP172" s="486"/>
      <c r="BQ172" s="101"/>
      <c r="BR172" s="487"/>
      <c r="BS172" s="488"/>
      <c r="BT172" s="485">
        <f>SUM(L172:BO172)</f>
        <v>0</v>
      </c>
      <c r="BU172" s="486"/>
      <c r="BV172" s="101"/>
      <c r="BW172" s="398"/>
    </row>
    <row r="173" spans="1:78" ht="12.75" hidden="1" x14ac:dyDescent="0.2">
      <c r="A173" s="388"/>
      <c r="B173" s="388"/>
      <c r="C173" s="388"/>
      <c r="D173" s="398" t="s">
        <v>496</v>
      </c>
      <c r="E173" s="404"/>
      <c r="F173" s="427"/>
      <c r="G173" s="496">
        <v>0</v>
      </c>
      <c r="H173" s="90"/>
      <c r="I173" s="101"/>
      <c r="J173" s="487"/>
      <c r="K173" s="497"/>
      <c r="L173" s="496">
        <v>0</v>
      </c>
      <c r="M173" s="90"/>
      <c r="N173" s="101"/>
      <c r="O173" s="487"/>
      <c r="P173" s="497"/>
      <c r="Q173" s="496">
        <v>0</v>
      </c>
      <c r="R173" s="90"/>
      <c r="S173" s="101"/>
      <c r="T173" s="487"/>
      <c r="U173" s="497"/>
      <c r="V173" s="496">
        <v>0</v>
      </c>
      <c r="W173" s="90"/>
      <c r="X173" s="101"/>
      <c r="Y173" s="487"/>
      <c r="Z173" s="497"/>
      <c r="AA173" s="496">
        <v>0</v>
      </c>
      <c r="AB173" s="90"/>
      <c r="AC173" s="101"/>
      <c r="AD173" s="487"/>
      <c r="AE173" s="497"/>
      <c r="AF173" s="496">
        <v>0</v>
      </c>
      <c r="AG173" s="90"/>
      <c r="AH173" s="101"/>
      <c r="AI173" s="487"/>
      <c r="AJ173" s="497"/>
      <c r="AK173" s="496">
        <v>0</v>
      </c>
      <c r="AL173" s="90"/>
      <c r="AM173" s="101"/>
      <c r="AN173" s="487"/>
      <c r="AO173" s="497"/>
      <c r="AP173" s="496">
        <v>0</v>
      </c>
      <c r="AQ173" s="90"/>
      <c r="AR173" s="101"/>
      <c r="AS173" s="487"/>
      <c r="AT173" s="497"/>
      <c r="AU173" s="496">
        <v>0</v>
      </c>
      <c r="AV173" s="90"/>
      <c r="AW173" s="101"/>
      <c r="AX173" s="487"/>
      <c r="AY173" s="497"/>
      <c r="AZ173" s="496">
        <v>0</v>
      </c>
      <c r="BA173" s="90"/>
      <c r="BB173" s="101"/>
      <c r="BC173" s="487"/>
      <c r="BD173" s="497"/>
      <c r="BE173" s="496">
        <v>0</v>
      </c>
      <c r="BF173" s="90"/>
      <c r="BG173" s="101"/>
      <c r="BH173" s="487"/>
      <c r="BI173" s="497"/>
      <c r="BJ173" s="496">
        <v>0</v>
      </c>
      <c r="BK173" s="90"/>
      <c r="BL173" s="101"/>
      <c r="BM173" s="487"/>
      <c r="BN173" s="497"/>
      <c r="BO173" s="496">
        <v>0</v>
      </c>
      <c r="BP173" s="90"/>
      <c r="BQ173" s="101"/>
      <c r="BR173" s="487"/>
      <c r="BS173" s="497"/>
      <c r="BT173" s="496">
        <f>SUM(L173:BO173)</f>
        <v>0</v>
      </c>
      <c r="BU173" s="90"/>
      <c r="BV173" s="101"/>
      <c r="BW173" s="398"/>
    </row>
    <row r="174" spans="1:78" ht="12.75" hidden="1" x14ac:dyDescent="0.2">
      <c r="A174" s="388"/>
      <c r="B174" s="388"/>
      <c r="C174" s="388"/>
      <c r="D174" s="398"/>
      <c r="E174" s="404"/>
      <c r="F174" s="388"/>
      <c r="G174" s="101"/>
      <c r="H174" s="101"/>
      <c r="I174" s="101"/>
      <c r="J174" s="487"/>
      <c r="K174" s="101"/>
      <c r="L174" s="101"/>
      <c r="M174" s="101"/>
      <c r="N174" s="101"/>
      <c r="O174" s="487"/>
      <c r="P174" s="101"/>
      <c r="Q174" s="101"/>
      <c r="R174" s="101"/>
      <c r="S174" s="101"/>
      <c r="T174" s="487"/>
      <c r="U174" s="101"/>
      <c r="V174" s="101"/>
      <c r="W174" s="101"/>
      <c r="X174" s="101"/>
      <c r="Y174" s="487"/>
      <c r="Z174" s="101"/>
      <c r="AA174" s="101"/>
      <c r="AB174" s="101"/>
      <c r="AC174" s="101"/>
      <c r="AD174" s="487"/>
      <c r="AE174" s="101"/>
      <c r="AF174" s="101"/>
      <c r="AG174" s="101"/>
      <c r="AH174" s="101"/>
      <c r="AI174" s="487"/>
      <c r="AJ174" s="101"/>
      <c r="AK174" s="101"/>
      <c r="AL174" s="101"/>
      <c r="AM174" s="101"/>
      <c r="AN174" s="487"/>
      <c r="AO174" s="101"/>
      <c r="AP174" s="101"/>
      <c r="AQ174" s="101"/>
      <c r="AR174" s="101"/>
      <c r="AS174" s="487"/>
      <c r="AT174" s="101"/>
      <c r="AU174" s="101"/>
      <c r="AV174" s="101"/>
      <c r="AW174" s="101"/>
      <c r="AX174" s="487"/>
      <c r="AY174" s="101"/>
      <c r="AZ174" s="101"/>
      <c r="BA174" s="101"/>
      <c r="BB174" s="101"/>
      <c r="BC174" s="487"/>
      <c r="BD174" s="101"/>
      <c r="BE174" s="101"/>
      <c r="BF174" s="101"/>
      <c r="BG174" s="101"/>
      <c r="BH174" s="487"/>
      <c r="BI174" s="101"/>
      <c r="BJ174" s="101"/>
      <c r="BK174" s="101"/>
      <c r="BL174" s="101"/>
      <c r="BM174" s="487"/>
      <c r="BN174" s="101"/>
      <c r="BO174" s="101"/>
      <c r="BP174" s="101"/>
      <c r="BQ174" s="101"/>
      <c r="BR174" s="487"/>
      <c r="BS174" s="101"/>
      <c r="BT174" s="101"/>
      <c r="BU174" s="101"/>
      <c r="BV174" s="101"/>
      <c r="BW174" s="398"/>
    </row>
    <row r="175" spans="1:78" ht="12.75" hidden="1" x14ac:dyDescent="0.2">
      <c r="A175" s="388"/>
      <c r="B175" s="388"/>
      <c r="C175" s="388"/>
      <c r="D175" s="398" t="s">
        <v>513</v>
      </c>
      <c r="E175" s="404"/>
      <c r="F175" s="388"/>
      <c r="G175" s="101">
        <f>SUM(G176:G177)</f>
        <v>0</v>
      </c>
      <c r="H175" s="101"/>
      <c r="I175" s="101"/>
      <c r="J175" s="487"/>
      <c r="K175" s="101"/>
      <c r="L175" s="101">
        <f>SUM(L176:L177)</f>
        <v>0</v>
      </c>
      <c r="M175" s="101"/>
      <c r="N175" s="101"/>
      <c r="O175" s="487"/>
      <c r="P175" s="101"/>
      <c r="Q175" s="101">
        <f>SUM(Q176:Q177)</f>
        <v>0</v>
      </c>
      <c r="R175" s="101"/>
      <c r="S175" s="101"/>
      <c r="T175" s="487"/>
      <c r="U175" s="101"/>
      <c r="V175" s="101">
        <f>SUM(V176:V177)</f>
        <v>0</v>
      </c>
      <c r="W175" s="101"/>
      <c r="X175" s="101"/>
      <c r="Y175" s="487"/>
      <c r="Z175" s="101"/>
      <c r="AA175" s="101">
        <f>SUM(AA176:AA177)</f>
        <v>0</v>
      </c>
      <c r="AB175" s="101"/>
      <c r="AC175" s="101"/>
      <c r="AD175" s="487"/>
      <c r="AE175" s="101"/>
      <c r="AF175" s="101">
        <f>SUM(AF176:AF177)</f>
        <v>0</v>
      </c>
      <c r="AG175" s="101"/>
      <c r="AH175" s="101"/>
      <c r="AI175" s="487"/>
      <c r="AJ175" s="101"/>
      <c r="AK175" s="101">
        <f>SUM(AK176:AK177)</f>
        <v>0</v>
      </c>
      <c r="AL175" s="101"/>
      <c r="AM175" s="101"/>
      <c r="AN175" s="487"/>
      <c r="AO175" s="101"/>
      <c r="AP175" s="101">
        <f>SUM(AP176:AP177)</f>
        <v>0</v>
      </c>
      <c r="AQ175" s="101"/>
      <c r="AR175" s="101"/>
      <c r="AS175" s="487"/>
      <c r="AT175" s="101"/>
      <c r="AU175" s="101">
        <f>SUM(AU176:AU177)</f>
        <v>0</v>
      </c>
      <c r="AV175" s="101"/>
      <c r="AW175" s="101"/>
      <c r="AX175" s="487"/>
      <c r="AY175" s="101"/>
      <c r="AZ175" s="101">
        <f>SUM(AZ176:AZ177)</f>
        <v>0</v>
      </c>
      <c r="BA175" s="101"/>
      <c r="BB175" s="101"/>
      <c r="BC175" s="487"/>
      <c r="BD175" s="101"/>
      <c r="BE175" s="101">
        <f>SUM(BE176:BE177)</f>
        <v>0</v>
      </c>
      <c r="BF175" s="101"/>
      <c r="BG175" s="101"/>
      <c r="BH175" s="487"/>
      <c r="BI175" s="101"/>
      <c r="BJ175" s="101">
        <f>SUM(BJ176:BJ177)</f>
        <v>0</v>
      </c>
      <c r="BK175" s="101"/>
      <c r="BL175" s="101"/>
      <c r="BM175" s="487"/>
      <c r="BN175" s="101"/>
      <c r="BO175" s="101">
        <f>SUM(BO176:BO177)</f>
        <v>0</v>
      </c>
      <c r="BP175" s="101"/>
      <c r="BQ175" s="101"/>
      <c r="BR175" s="487"/>
      <c r="BS175" s="101"/>
      <c r="BT175" s="101">
        <f>SUM(BT176:BT177)</f>
        <v>0</v>
      </c>
      <c r="BU175" s="101"/>
      <c r="BV175" s="101"/>
      <c r="BW175" s="398"/>
    </row>
    <row r="176" spans="1:78" ht="12.75" hidden="1" x14ac:dyDescent="0.2">
      <c r="A176" s="388"/>
      <c r="B176" s="388"/>
      <c r="C176" s="388"/>
      <c r="D176" s="398" t="s">
        <v>495</v>
      </c>
      <c r="E176" s="404"/>
      <c r="F176" s="412"/>
      <c r="G176" s="485">
        <v>0</v>
      </c>
      <c r="H176" s="486"/>
      <c r="I176" s="101"/>
      <c r="J176" s="487"/>
      <c r="K176" s="488"/>
      <c r="L176" s="485">
        <v>0</v>
      </c>
      <c r="M176" s="486"/>
      <c r="N176" s="101"/>
      <c r="O176" s="487"/>
      <c r="P176" s="488"/>
      <c r="Q176" s="485">
        <v>0</v>
      </c>
      <c r="R176" s="486"/>
      <c r="S176" s="101"/>
      <c r="T176" s="487"/>
      <c r="U176" s="488"/>
      <c r="V176" s="485">
        <v>0</v>
      </c>
      <c r="W176" s="486"/>
      <c r="X176" s="101"/>
      <c r="Y176" s="487"/>
      <c r="Z176" s="488"/>
      <c r="AA176" s="485">
        <v>0</v>
      </c>
      <c r="AB176" s="486"/>
      <c r="AC176" s="101"/>
      <c r="AD176" s="487"/>
      <c r="AE176" s="488"/>
      <c r="AF176" s="485">
        <v>0</v>
      </c>
      <c r="AG176" s="486"/>
      <c r="AH176" s="101"/>
      <c r="AI176" s="487"/>
      <c r="AJ176" s="488"/>
      <c r="AK176" s="485">
        <v>0</v>
      </c>
      <c r="AL176" s="486"/>
      <c r="AM176" s="101"/>
      <c r="AN176" s="487"/>
      <c r="AO176" s="488"/>
      <c r="AP176" s="485">
        <v>0</v>
      </c>
      <c r="AQ176" s="486"/>
      <c r="AR176" s="101"/>
      <c r="AS176" s="487"/>
      <c r="AT176" s="488"/>
      <c r="AU176" s="485">
        <v>0</v>
      </c>
      <c r="AV176" s="486"/>
      <c r="AW176" s="101"/>
      <c r="AX176" s="487"/>
      <c r="AY176" s="488"/>
      <c r="AZ176" s="485">
        <v>0</v>
      </c>
      <c r="BA176" s="486"/>
      <c r="BB176" s="101"/>
      <c r="BC176" s="487"/>
      <c r="BD176" s="488"/>
      <c r="BE176" s="485">
        <v>0</v>
      </c>
      <c r="BF176" s="486"/>
      <c r="BG176" s="101"/>
      <c r="BH176" s="487"/>
      <c r="BI176" s="488"/>
      <c r="BJ176" s="485">
        <v>0</v>
      </c>
      <c r="BK176" s="486"/>
      <c r="BL176" s="101"/>
      <c r="BM176" s="487"/>
      <c r="BN176" s="488"/>
      <c r="BO176" s="485">
        <v>0</v>
      </c>
      <c r="BP176" s="486"/>
      <c r="BQ176" s="101"/>
      <c r="BR176" s="487"/>
      <c r="BS176" s="488"/>
      <c r="BT176" s="485">
        <f>SUM(L176:BO176)</f>
        <v>0</v>
      </c>
      <c r="BU176" s="486"/>
      <c r="BV176" s="101"/>
      <c r="BW176" s="398"/>
    </row>
    <row r="177" spans="1:75" ht="12.75" hidden="1" x14ac:dyDescent="0.2">
      <c r="A177" s="388"/>
      <c r="B177" s="388"/>
      <c r="C177" s="388"/>
      <c r="D177" s="398" t="s">
        <v>496</v>
      </c>
      <c r="E177" s="404"/>
      <c r="F177" s="427"/>
      <c r="G177" s="496">
        <v>0</v>
      </c>
      <c r="H177" s="90"/>
      <c r="I177" s="101"/>
      <c r="J177" s="487"/>
      <c r="K177" s="497"/>
      <c r="L177" s="496">
        <v>0</v>
      </c>
      <c r="M177" s="90"/>
      <c r="N177" s="101"/>
      <c r="O177" s="487"/>
      <c r="P177" s="497"/>
      <c r="Q177" s="496">
        <v>0</v>
      </c>
      <c r="R177" s="90"/>
      <c r="S177" s="101"/>
      <c r="T177" s="487"/>
      <c r="U177" s="497"/>
      <c r="V177" s="496">
        <v>0</v>
      </c>
      <c r="W177" s="90"/>
      <c r="X177" s="101"/>
      <c r="Y177" s="487"/>
      <c r="Z177" s="497"/>
      <c r="AA177" s="496">
        <v>0</v>
      </c>
      <c r="AB177" s="90"/>
      <c r="AC177" s="101"/>
      <c r="AD177" s="487"/>
      <c r="AE177" s="497"/>
      <c r="AF177" s="496">
        <v>0</v>
      </c>
      <c r="AG177" s="90"/>
      <c r="AH177" s="101"/>
      <c r="AI177" s="487"/>
      <c r="AJ177" s="497"/>
      <c r="AK177" s="496">
        <v>0</v>
      </c>
      <c r="AL177" s="90"/>
      <c r="AM177" s="101"/>
      <c r="AN177" s="487"/>
      <c r="AO177" s="497"/>
      <c r="AP177" s="496">
        <v>0</v>
      </c>
      <c r="AQ177" s="90"/>
      <c r="AR177" s="101"/>
      <c r="AS177" s="487"/>
      <c r="AT177" s="497"/>
      <c r="AU177" s="496">
        <v>0</v>
      </c>
      <c r="AV177" s="90"/>
      <c r="AW177" s="101"/>
      <c r="AX177" s="487"/>
      <c r="AY177" s="497"/>
      <c r="AZ177" s="496">
        <v>0</v>
      </c>
      <c r="BA177" s="90"/>
      <c r="BB177" s="101"/>
      <c r="BC177" s="487"/>
      <c r="BD177" s="497"/>
      <c r="BE177" s="496">
        <v>0</v>
      </c>
      <c r="BF177" s="90"/>
      <c r="BG177" s="101"/>
      <c r="BH177" s="487"/>
      <c r="BI177" s="497"/>
      <c r="BJ177" s="496">
        <v>0</v>
      </c>
      <c r="BK177" s="90"/>
      <c r="BL177" s="101"/>
      <c r="BM177" s="487"/>
      <c r="BN177" s="497"/>
      <c r="BO177" s="496">
        <v>0</v>
      </c>
      <c r="BP177" s="90"/>
      <c r="BQ177" s="101"/>
      <c r="BR177" s="487"/>
      <c r="BS177" s="497"/>
      <c r="BT177" s="496">
        <f>SUM(L177:BO177)</f>
        <v>0</v>
      </c>
      <c r="BU177" s="90"/>
      <c r="BV177" s="101"/>
      <c r="BW177" s="398"/>
    </row>
    <row r="178" spans="1:75" ht="12.75" hidden="1" x14ac:dyDescent="0.2">
      <c r="A178" s="388"/>
      <c r="B178" s="388"/>
      <c r="C178" s="388"/>
      <c r="D178" s="398"/>
      <c r="E178" s="404"/>
      <c r="F178" s="388"/>
      <c r="G178" s="101"/>
      <c r="H178" s="101"/>
      <c r="I178" s="101"/>
      <c r="J178" s="487"/>
      <c r="K178" s="101"/>
      <c r="L178" s="101"/>
      <c r="M178" s="101"/>
      <c r="N178" s="101"/>
      <c r="O178" s="487"/>
      <c r="P178" s="101"/>
      <c r="Q178" s="101"/>
      <c r="R178" s="101"/>
      <c r="S178" s="101"/>
      <c r="T178" s="487"/>
      <c r="U178" s="101"/>
      <c r="V178" s="101"/>
      <c r="W178" s="101"/>
      <c r="X178" s="101"/>
      <c r="Y178" s="487"/>
      <c r="Z178" s="101"/>
      <c r="AA178" s="101"/>
      <c r="AB178" s="101"/>
      <c r="AC178" s="101"/>
      <c r="AD178" s="487"/>
      <c r="AE178" s="101"/>
      <c r="AF178" s="101"/>
      <c r="AG178" s="101"/>
      <c r="AH178" s="101"/>
      <c r="AI178" s="487"/>
      <c r="AJ178" s="101"/>
      <c r="AK178" s="101"/>
      <c r="AL178" s="101"/>
      <c r="AM178" s="101"/>
      <c r="AN178" s="487"/>
      <c r="AO178" s="101"/>
      <c r="AP178" s="101"/>
      <c r="AQ178" s="101"/>
      <c r="AR178" s="101"/>
      <c r="AS178" s="487"/>
      <c r="AT178" s="101"/>
      <c r="AU178" s="101"/>
      <c r="AV178" s="101"/>
      <c r="AW178" s="101"/>
      <c r="AX178" s="487"/>
      <c r="AY178" s="101"/>
      <c r="AZ178" s="101"/>
      <c r="BA178" s="101"/>
      <c r="BB178" s="101"/>
      <c r="BC178" s="487"/>
      <c r="BD178" s="101"/>
      <c r="BE178" s="101"/>
      <c r="BF178" s="101"/>
      <c r="BG178" s="101"/>
      <c r="BH178" s="487"/>
      <c r="BI178" s="101"/>
      <c r="BJ178" s="101"/>
      <c r="BK178" s="101"/>
      <c r="BL178" s="101"/>
      <c r="BM178" s="487"/>
      <c r="BN178" s="101"/>
      <c r="BO178" s="101"/>
      <c r="BP178" s="101"/>
      <c r="BQ178" s="101"/>
      <c r="BR178" s="487"/>
      <c r="BS178" s="101"/>
      <c r="BT178" s="101"/>
      <c r="BU178" s="101"/>
      <c r="BV178" s="101"/>
      <c r="BW178" s="398"/>
    </row>
    <row r="179" spans="1:75" ht="12.75" hidden="1" x14ac:dyDescent="0.2">
      <c r="A179" s="388"/>
      <c r="B179" s="388"/>
      <c r="C179" s="388"/>
      <c r="D179" s="398" t="s">
        <v>514</v>
      </c>
      <c r="E179" s="404"/>
      <c r="F179" s="388"/>
      <c r="G179" s="101">
        <f>SUM(G180:G181)</f>
        <v>0</v>
      </c>
      <c r="H179" s="101"/>
      <c r="I179" s="101"/>
      <c r="J179" s="487"/>
      <c r="K179" s="101"/>
      <c r="L179" s="101">
        <f>SUM(L180:L181)</f>
        <v>0</v>
      </c>
      <c r="M179" s="101"/>
      <c r="N179" s="101"/>
      <c r="O179" s="487"/>
      <c r="P179" s="101"/>
      <c r="Q179" s="101">
        <f>SUM(Q180:Q181)</f>
        <v>0</v>
      </c>
      <c r="R179" s="101"/>
      <c r="S179" s="101"/>
      <c r="T179" s="487"/>
      <c r="U179" s="101"/>
      <c r="V179" s="101">
        <f>SUM(V180:V181)</f>
        <v>0</v>
      </c>
      <c r="W179" s="101"/>
      <c r="X179" s="101"/>
      <c r="Y179" s="487"/>
      <c r="Z179" s="101"/>
      <c r="AA179" s="101">
        <f>SUM(AA180:AA181)</f>
        <v>0</v>
      </c>
      <c r="AB179" s="101"/>
      <c r="AC179" s="101"/>
      <c r="AD179" s="487"/>
      <c r="AE179" s="101"/>
      <c r="AF179" s="101">
        <f>SUM(AF180:AF181)</f>
        <v>0</v>
      </c>
      <c r="AG179" s="101"/>
      <c r="AH179" s="101"/>
      <c r="AI179" s="487"/>
      <c r="AJ179" s="101"/>
      <c r="AK179" s="101">
        <f>SUM(AK180:AK181)</f>
        <v>0</v>
      </c>
      <c r="AL179" s="101"/>
      <c r="AM179" s="101"/>
      <c r="AN179" s="487"/>
      <c r="AO179" s="101"/>
      <c r="AP179" s="101">
        <f>SUM(AP180:AP181)</f>
        <v>0</v>
      </c>
      <c r="AQ179" s="101"/>
      <c r="AR179" s="101"/>
      <c r="AS179" s="487"/>
      <c r="AT179" s="101"/>
      <c r="AU179" s="101">
        <f>SUM(AU180:AU181)</f>
        <v>0</v>
      </c>
      <c r="AV179" s="101"/>
      <c r="AW179" s="101"/>
      <c r="AX179" s="487"/>
      <c r="AY179" s="101"/>
      <c r="AZ179" s="101">
        <f>SUM(AZ180:AZ181)</f>
        <v>0</v>
      </c>
      <c r="BA179" s="101"/>
      <c r="BB179" s="101"/>
      <c r="BC179" s="487"/>
      <c r="BD179" s="101"/>
      <c r="BE179" s="101">
        <f>SUM(BE180:BE181)</f>
        <v>0</v>
      </c>
      <c r="BF179" s="101"/>
      <c r="BG179" s="101"/>
      <c r="BH179" s="487"/>
      <c r="BI179" s="101"/>
      <c r="BJ179" s="101">
        <f>SUM(BJ180:BJ181)</f>
        <v>0</v>
      </c>
      <c r="BK179" s="101"/>
      <c r="BL179" s="101"/>
      <c r="BM179" s="487"/>
      <c r="BN179" s="101"/>
      <c r="BO179" s="101">
        <f>SUM(BO180:BO181)</f>
        <v>0</v>
      </c>
      <c r="BP179" s="101"/>
      <c r="BQ179" s="101"/>
      <c r="BR179" s="487"/>
      <c r="BS179" s="101"/>
      <c r="BT179" s="101">
        <f>SUM(BT180:BT181)</f>
        <v>0</v>
      </c>
      <c r="BU179" s="101"/>
      <c r="BV179" s="101"/>
      <c r="BW179" s="398"/>
    </row>
    <row r="180" spans="1:75" ht="12.75" hidden="1" x14ac:dyDescent="0.2">
      <c r="A180" s="388"/>
      <c r="B180" s="388"/>
      <c r="C180" s="388"/>
      <c r="D180" s="398" t="s">
        <v>495</v>
      </c>
      <c r="E180" s="404"/>
      <c r="F180" s="412"/>
      <c r="G180" s="485">
        <v>0</v>
      </c>
      <c r="H180" s="486"/>
      <c r="I180" s="101"/>
      <c r="J180" s="487"/>
      <c r="K180" s="488"/>
      <c r="L180" s="485">
        <v>0</v>
      </c>
      <c r="M180" s="486"/>
      <c r="N180" s="101"/>
      <c r="O180" s="487"/>
      <c r="P180" s="488"/>
      <c r="Q180" s="485">
        <v>0</v>
      </c>
      <c r="R180" s="486"/>
      <c r="S180" s="101"/>
      <c r="T180" s="487"/>
      <c r="U180" s="488"/>
      <c r="V180" s="485">
        <v>0</v>
      </c>
      <c r="W180" s="486"/>
      <c r="X180" s="101"/>
      <c r="Y180" s="487"/>
      <c r="Z180" s="488"/>
      <c r="AA180" s="485">
        <v>0</v>
      </c>
      <c r="AB180" s="486"/>
      <c r="AC180" s="101"/>
      <c r="AD180" s="487"/>
      <c r="AE180" s="488"/>
      <c r="AF180" s="485">
        <v>0</v>
      </c>
      <c r="AG180" s="486"/>
      <c r="AH180" s="101"/>
      <c r="AI180" s="487"/>
      <c r="AJ180" s="488"/>
      <c r="AK180" s="485">
        <v>0</v>
      </c>
      <c r="AL180" s="486"/>
      <c r="AM180" s="101"/>
      <c r="AN180" s="487"/>
      <c r="AO180" s="488"/>
      <c r="AP180" s="485">
        <v>0</v>
      </c>
      <c r="AQ180" s="486"/>
      <c r="AR180" s="101"/>
      <c r="AS180" s="487"/>
      <c r="AT180" s="488"/>
      <c r="AU180" s="485">
        <v>0</v>
      </c>
      <c r="AV180" s="486"/>
      <c r="AW180" s="101"/>
      <c r="AX180" s="487"/>
      <c r="AY180" s="488"/>
      <c r="AZ180" s="485">
        <v>0</v>
      </c>
      <c r="BA180" s="486"/>
      <c r="BB180" s="101"/>
      <c r="BC180" s="487"/>
      <c r="BD180" s="488"/>
      <c r="BE180" s="485">
        <v>0</v>
      </c>
      <c r="BF180" s="486"/>
      <c r="BG180" s="101"/>
      <c r="BH180" s="487"/>
      <c r="BI180" s="488"/>
      <c r="BJ180" s="485">
        <v>0</v>
      </c>
      <c r="BK180" s="486"/>
      <c r="BL180" s="101"/>
      <c r="BM180" s="487"/>
      <c r="BN180" s="488"/>
      <c r="BO180" s="485">
        <v>0</v>
      </c>
      <c r="BP180" s="486"/>
      <c r="BQ180" s="101"/>
      <c r="BR180" s="487"/>
      <c r="BS180" s="488"/>
      <c r="BT180" s="485">
        <f>SUM(L180:BO180)</f>
        <v>0</v>
      </c>
      <c r="BU180" s="486"/>
      <c r="BV180" s="101"/>
      <c r="BW180" s="398"/>
    </row>
    <row r="181" spans="1:75" ht="12.75" hidden="1" x14ac:dyDescent="0.2">
      <c r="A181" s="388"/>
      <c r="B181" s="388"/>
      <c r="C181" s="388"/>
      <c r="D181" s="398" t="s">
        <v>496</v>
      </c>
      <c r="E181" s="404"/>
      <c r="F181" s="427"/>
      <c r="G181" s="496">
        <v>0</v>
      </c>
      <c r="H181" s="90"/>
      <c r="I181" s="101"/>
      <c r="J181" s="487"/>
      <c r="K181" s="497"/>
      <c r="L181" s="496">
        <v>0</v>
      </c>
      <c r="M181" s="90"/>
      <c r="N181" s="101"/>
      <c r="O181" s="487"/>
      <c r="P181" s="497"/>
      <c r="Q181" s="496">
        <v>0</v>
      </c>
      <c r="R181" s="90"/>
      <c r="S181" s="101"/>
      <c r="T181" s="487"/>
      <c r="U181" s="497"/>
      <c r="V181" s="496">
        <v>0</v>
      </c>
      <c r="W181" s="90"/>
      <c r="X181" s="101"/>
      <c r="Y181" s="487"/>
      <c r="Z181" s="497"/>
      <c r="AA181" s="496">
        <v>0</v>
      </c>
      <c r="AB181" s="90"/>
      <c r="AC181" s="101"/>
      <c r="AD181" s="487"/>
      <c r="AE181" s="497"/>
      <c r="AF181" s="496">
        <v>0</v>
      </c>
      <c r="AG181" s="90"/>
      <c r="AH181" s="101"/>
      <c r="AI181" s="487"/>
      <c r="AJ181" s="497"/>
      <c r="AK181" s="496">
        <v>0</v>
      </c>
      <c r="AL181" s="90"/>
      <c r="AM181" s="101"/>
      <c r="AN181" s="487"/>
      <c r="AO181" s="497"/>
      <c r="AP181" s="496">
        <v>0</v>
      </c>
      <c r="AQ181" s="90"/>
      <c r="AR181" s="101"/>
      <c r="AS181" s="487"/>
      <c r="AT181" s="497"/>
      <c r="AU181" s="496">
        <v>0</v>
      </c>
      <c r="AV181" s="90"/>
      <c r="AW181" s="101"/>
      <c r="AX181" s="487"/>
      <c r="AY181" s="497"/>
      <c r="AZ181" s="496">
        <v>0</v>
      </c>
      <c r="BA181" s="90"/>
      <c r="BB181" s="101"/>
      <c r="BC181" s="487"/>
      <c r="BD181" s="497"/>
      <c r="BE181" s="496">
        <v>0</v>
      </c>
      <c r="BF181" s="90"/>
      <c r="BG181" s="101"/>
      <c r="BH181" s="487"/>
      <c r="BI181" s="497"/>
      <c r="BJ181" s="496">
        <v>0</v>
      </c>
      <c r="BK181" s="90"/>
      <c r="BL181" s="101"/>
      <c r="BM181" s="487"/>
      <c r="BN181" s="497"/>
      <c r="BO181" s="496">
        <v>0</v>
      </c>
      <c r="BP181" s="90"/>
      <c r="BQ181" s="101"/>
      <c r="BR181" s="487"/>
      <c r="BS181" s="497"/>
      <c r="BT181" s="496">
        <f>SUM(L181:BO181)</f>
        <v>0</v>
      </c>
      <c r="BU181" s="90"/>
      <c r="BV181" s="101"/>
      <c r="BW181" s="398"/>
    </row>
    <row r="182" spans="1:75" ht="12.75" hidden="1" x14ac:dyDescent="0.2">
      <c r="A182" s="388"/>
      <c r="B182" s="388"/>
      <c r="C182" s="388"/>
      <c r="D182" s="398"/>
      <c r="E182" s="404"/>
      <c r="F182" s="388"/>
      <c r="G182" s="101"/>
      <c r="H182" s="101"/>
      <c r="I182" s="101"/>
      <c r="J182" s="487"/>
      <c r="K182" s="101"/>
      <c r="L182" s="101"/>
      <c r="M182" s="101"/>
      <c r="N182" s="101"/>
      <c r="O182" s="487"/>
      <c r="P182" s="101"/>
      <c r="Q182" s="101"/>
      <c r="R182" s="101"/>
      <c r="S182" s="101"/>
      <c r="T182" s="487"/>
      <c r="U182" s="101"/>
      <c r="V182" s="101"/>
      <c r="W182" s="101"/>
      <c r="X182" s="101"/>
      <c r="Y182" s="487"/>
      <c r="Z182" s="101"/>
      <c r="AA182" s="101"/>
      <c r="AB182" s="101"/>
      <c r="AC182" s="101"/>
      <c r="AD182" s="487"/>
      <c r="AE182" s="101"/>
      <c r="AF182" s="101"/>
      <c r="AG182" s="101"/>
      <c r="AH182" s="101"/>
      <c r="AI182" s="487"/>
      <c r="AJ182" s="101"/>
      <c r="AK182" s="101"/>
      <c r="AL182" s="101"/>
      <c r="AM182" s="101"/>
      <c r="AN182" s="487"/>
      <c r="AO182" s="101"/>
      <c r="AP182" s="101"/>
      <c r="AQ182" s="101"/>
      <c r="AR182" s="101"/>
      <c r="AS182" s="487"/>
      <c r="AT182" s="101"/>
      <c r="AU182" s="101"/>
      <c r="AV182" s="101"/>
      <c r="AW182" s="101"/>
      <c r="AX182" s="487"/>
      <c r="AY182" s="101"/>
      <c r="AZ182" s="101"/>
      <c r="BA182" s="101"/>
      <c r="BB182" s="101"/>
      <c r="BC182" s="487"/>
      <c r="BD182" s="101"/>
      <c r="BE182" s="101"/>
      <c r="BF182" s="101"/>
      <c r="BG182" s="101"/>
      <c r="BH182" s="487"/>
      <c r="BI182" s="101"/>
      <c r="BJ182" s="101"/>
      <c r="BK182" s="101"/>
      <c r="BL182" s="101"/>
      <c r="BM182" s="487"/>
      <c r="BN182" s="101"/>
      <c r="BO182" s="101"/>
      <c r="BP182" s="101"/>
      <c r="BQ182" s="101"/>
      <c r="BR182" s="487"/>
      <c r="BS182" s="101"/>
      <c r="BT182" s="101"/>
      <c r="BU182" s="101"/>
      <c r="BV182" s="101"/>
      <c r="BW182" s="398"/>
    </row>
    <row r="183" spans="1:75" ht="12.75" hidden="1" x14ac:dyDescent="0.2">
      <c r="A183" s="388"/>
      <c r="B183" s="388"/>
      <c r="C183" s="388"/>
      <c r="D183" s="398" t="s">
        <v>515</v>
      </c>
      <c r="E183" s="404"/>
      <c r="F183" s="388"/>
      <c r="G183" s="101">
        <f>SUM(G184:G185)</f>
        <v>0</v>
      </c>
      <c r="H183" s="101"/>
      <c r="I183" s="101"/>
      <c r="J183" s="487"/>
      <c r="K183" s="101"/>
      <c r="L183" s="101">
        <f>SUM(L184:L185)</f>
        <v>0</v>
      </c>
      <c r="M183" s="101"/>
      <c r="N183" s="101"/>
      <c r="O183" s="487"/>
      <c r="P183" s="101"/>
      <c r="Q183" s="101">
        <f>SUM(Q184:Q185)</f>
        <v>0</v>
      </c>
      <c r="R183" s="101"/>
      <c r="S183" s="101"/>
      <c r="T183" s="487"/>
      <c r="U183" s="101"/>
      <c r="V183" s="101">
        <f>SUM(V184:V185)</f>
        <v>0</v>
      </c>
      <c r="W183" s="101"/>
      <c r="X183" s="101"/>
      <c r="Y183" s="487"/>
      <c r="Z183" s="101"/>
      <c r="AA183" s="101">
        <f>SUM(AA184:AA185)</f>
        <v>0</v>
      </c>
      <c r="AB183" s="101"/>
      <c r="AC183" s="101"/>
      <c r="AD183" s="487"/>
      <c r="AE183" s="101"/>
      <c r="AF183" s="101">
        <f>SUM(AF184:AF185)</f>
        <v>0</v>
      </c>
      <c r="AG183" s="101"/>
      <c r="AH183" s="101"/>
      <c r="AI183" s="487"/>
      <c r="AJ183" s="101"/>
      <c r="AK183" s="101">
        <f>SUM(AK184:AK185)</f>
        <v>0</v>
      </c>
      <c r="AL183" s="101"/>
      <c r="AM183" s="101"/>
      <c r="AN183" s="487"/>
      <c r="AO183" s="101"/>
      <c r="AP183" s="101">
        <f>SUM(AP184:AP185)</f>
        <v>0</v>
      </c>
      <c r="AQ183" s="101"/>
      <c r="AR183" s="101"/>
      <c r="AS183" s="487"/>
      <c r="AT183" s="101"/>
      <c r="AU183" s="101">
        <f>SUM(AU184:AU185)</f>
        <v>0</v>
      </c>
      <c r="AV183" s="101"/>
      <c r="AW183" s="101"/>
      <c r="AX183" s="487"/>
      <c r="AY183" s="101"/>
      <c r="AZ183" s="101">
        <f>SUM(AZ184:AZ185)</f>
        <v>0</v>
      </c>
      <c r="BA183" s="101"/>
      <c r="BB183" s="101"/>
      <c r="BC183" s="487"/>
      <c r="BD183" s="101"/>
      <c r="BE183" s="101">
        <f>SUM(BE184:BE185)</f>
        <v>0</v>
      </c>
      <c r="BF183" s="101"/>
      <c r="BG183" s="101"/>
      <c r="BH183" s="487"/>
      <c r="BI183" s="101"/>
      <c r="BJ183" s="101">
        <f>SUM(BJ184:BJ185)</f>
        <v>0</v>
      </c>
      <c r="BK183" s="101"/>
      <c r="BL183" s="101"/>
      <c r="BM183" s="487"/>
      <c r="BN183" s="101"/>
      <c r="BO183" s="101">
        <f>SUM(BO184:BO185)</f>
        <v>0</v>
      </c>
      <c r="BP183" s="101"/>
      <c r="BQ183" s="101"/>
      <c r="BR183" s="487"/>
      <c r="BS183" s="101"/>
      <c r="BT183" s="101">
        <f>SUM(BT184:BT185)</f>
        <v>0</v>
      </c>
      <c r="BU183" s="101"/>
      <c r="BV183" s="101"/>
      <c r="BW183" s="398"/>
    </row>
    <row r="184" spans="1:75" ht="12.75" hidden="1" x14ac:dyDescent="0.2">
      <c r="A184" s="388"/>
      <c r="B184" s="388"/>
      <c r="C184" s="388"/>
      <c r="D184" s="398" t="s">
        <v>495</v>
      </c>
      <c r="E184" s="404"/>
      <c r="F184" s="412"/>
      <c r="G184" s="485">
        <v>0</v>
      </c>
      <c r="H184" s="486"/>
      <c r="I184" s="101"/>
      <c r="J184" s="487"/>
      <c r="K184" s="488"/>
      <c r="L184" s="485">
        <v>0</v>
      </c>
      <c r="M184" s="486"/>
      <c r="N184" s="101"/>
      <c r="O184" s="487"/>
      <c r="P184" s="488"/>
      <c r="Q184" s="485">
        <v>0</v>
      </c>
      <c r="R184" s="486"/>
      <c r="S184" s="101"/>
      <c r="T184" s="487"/>
      <c r="U184" s="488"/>
      <c r="V184" s="485">
        <v>0</v>
      </c>
      <c r="W184" s="486"/>
      <c r="X184" s="101"/>
      <c r="Y184" s="487"/>
      <c r="Z184" s="488"/>
      <c r="AA184" s="485">
        <v>0</v>
      </c>
      <c r="AB184" s="486"/>
      <c r="AC184" s="101"/>
      <c r="AD184" s="487"/>
      <c r="AE184" s="488"/>
      <c r="AF184" s="485">
        <v>0</v>
      </c>
      <c r="AG184" s="486"/>
      <c r="AH184" s="101"/>
      <c r="AI184" s="487"/>
      <c r="AJ184" s="488"/>
      <c r="AK184" s="485">
        <v>0</v>
      </c>
      <c r="AL184" s="486"/>
      <c r="AM184" s="101"/>
      <c r="AN184" s="487"/>
      <c r="AO184" s="488"/>
      <c r="AP184" s="485">
        <v>0</v>
      </c>
      <c r="AQ184" s="486"/>
      <c r="AR184" s="101"/>
      <c r="AS184" s="487"/>
      <c r="AT184" s="488"/>
      <c r="AU184" s="485">
        <v>0</v>
      </c>
      <c r="AV184" s="486"/>
      <c r="AW184" s="101"/>
      <c r="AX184" s="487"/>
      <c r="AY184" s="488"/>
      <c r="AZ184" s="485">
        <v>0</v>
      </c>
      <c r="BA184" s="486"/>
      <c r="BB184" s="101"/>
      <c r="BC184" s="487"/>
      <c r="BD184" s="488"/>
      <c r="BE184" s="485">
        <v>0</v>
      </c>
      <c r="BF184" s="486"/>
      <c r="BG184" s="101"/>
      <c r="BH184" s="487"/>
      <c r="BI184" s="488"/>
      <c r="BJ184" s="485">
        <v>0</v>
      </c>
      <c r="BK184" s="486"/>
      <c r="BL184" s="101"/>
      <c r="BM184" s="487"/>
      <c r="BN184" s="488"/>
      <c r="BO184" s="485">
        <v>0</v>
      </c>
      <c r="BP184" s="486"/>
      <c r="BQ184" s="101"/>
      <c r="BR184" s="487"/>
      <c r="BS184" s="488"/>
      <c r="BT184" s="485">
        <f>SUM(L184:BO184)</f>
        <v>0</v>
      </c>
      <c r="BU184" s="486"/>
      <c r="BV184" s="101"/>
      <c r="BW184" s="398"/>
    </row>
    <row r="185" spans="1:75" ht="12.75" hidden="1" x14ac:dyDescent="0.2">
      <c r="A185" s="388"/>
      <c r="B185" s="388"/>
      <c r="C185" s="388"/>
      <c r="D185" s="398" t="s">
        <v>496</v>
      </c>
      <c r="E185" s="404"/>
      <c r="F185" s="427"/>
      <c r="G185" s="496">
        <v>0</v>
      </c>
      <c r="H185" s="90"/>
      <c r="I185" s="101"/>
      <c r="J185" s="487"/>
      <c r="K185" s="497"/>
      <c r="L185" s="496">
        <v>0</v>
      </c>
      <c r="M185" s="90"/>
      <c r="N185" s="101"/>
      <c r="O185" s="487"/>
      <c r="P185" s="497"/>
      <c r="Q185" s="496">
        <v>0</v>
      </c>
      <c r="R185" s="90"/>
      <c r="S185" s="101"/>
      <c r="T185" s="487"/>
      <c r="U185" s="497"/>
      <c r="V185" s="496">
        <v>0</v>
      </c>
      <c r="W185" s="90"/>
      <c r="X185" s="101"/>
      <c r="Y185" s="487"/>
      <c r="Z185" s="497"/>
      <c r="AA185" s="496">
        <v>0</v>
      </c>
      <c r="AB185" s="90"/>
      <c r="AC185" s="101"/>
      <c r="AD185" s="487"/>
      <c r="AE185" s="497"/>
      <c r="AF185" s="496">
        <v>0</v>
      </c>
      <c r="AG185" s="90"/>
      <c r="AH185" s="101"/>
      <c r="AI185" s="487"/>
      <c r="AJ185" s="497"/>
      <c r="AK185" s="496">
        <v>0</v>
      </c>
      <c r="AL185" s="90"/>
      <c r="AM185" s="101"/>
      <c r="AN185" s="487"/>
      <c r="AO185" s="497"/>
      <c r="AP185" s="496">
        <v>0</v>
      </c>
      <c r="AQ185" s="90"/>
      <c r="AR185" s="101"/>
      <c r="AS185" s="487"/>
      <c r="AT185" s="497"/>
      <c r="AU185" s="496">
        <v>0</v>
      </c>
      <c r="AV185" s="90"/>
      <c r="AW185" s="101"/>
      <c r="AX185" s="487"/>
      <c r="AY185" s="497"/>
      <c r="AZ185" s="496">
        <v>0</v>
      </c>
      <c r="BA185" s="90"/>
      <c r="BB185" s="101"/>
      <c r="BC185" s="487"/>
      <c r="BD185" s="497"/>
      <c r="BE185" s="496">
        <v>0</v>
      </c>
      <c r="BF185" s="90"/>
      <c r="BG185" s="101"/>
      <c r="BH185" s="487"/>
      <c r="BI185" s="497"/>
      <c r="BJ185" s="496">
        <v>0</v>
      </c>
      <c r="BK185" s="90"/>
      <c r="BL185" s="101"/>
      <c r="BM185" s="487"/>
      <c r="BN185" s="497"/>
      <c r="BO185" s="496">
        <v>0</v>
      </c>
      <c r="BP185" s="90"/>
      <c r="BQ185" s="101"/>
      <c r="BR185" s="487"/>
      <c r="BS185" s="497"/>
      <c r="BT185" s="496">
        <f>SUM(L185:BO185)</f>
        <v>0</v>
      </c>
      <c r="BU185" s="90"/>
      <c r="BV185" s="101"/>
      <c r="BW185" s="398"/>
    </row>
    <row r="186" spans="1:75" ht="12.75" hidden="1" x14ac:dyDescent="0.2">
      <c r="A186" s="388"/>
      <c r="B186" s="388"/>
      <c r="C186" s="388"/>
      <c r="D186" s="398"/>
      <c r="E186" s="404"/>
      <c r="F186" s="388"/>
      <c r="G186" s="101"/>
      <c r="H186" s="101"/>
      <c r="I186" s="101"/>
      <c r="J186" s="487"/>
      <c r="K186" s="101"/>
      <c r="L186" s="101"/>
      <c r="M186" s="101"/>
      <c r="N186" s="101"/>
      <c r="O186" s="487"/>
      <c r="P186" s="101"/>
      <c r="Q186" s="101"/>
      <c r="R186" s="101"/>
      <c r="S186" s="101"/>
      <c r="T186" s="487"/>
      <c r="U186" s="101"/>
      <c r="V186" s="101"/>
      <c r="W186" s="101"/>
      <c r="X186" s="101"/>
      <c r="Y186" s="487"/>
      <c r="Z186" s="101"/>
      <c r="AA186" s="101"/>
      <c r="AB186" s="101"/>
      <c r="AC186" s="101"/>
      <c r="AD186" s="487"/>
      <c r="AE186" s="101"/>
      <c r="AF186" s="101"/>
      <c r="AG186" s="101"/>
      <c r="AH186" s="101"/>
      <c r="AI186" s="487"/>
      <c r="AJ186" s="101"/>
      <c r="AK186" s="101"/>
      <c r="AL186" s="101"/>
      <c r="AM186" s="101"/>
      <c r="AN186" s="487"/>
      <c r="AO186" s="101"/>
      <c r="AP186" s="101"/>
      <c r="AQ186" s="101"/>
      <c r="AR186" s="101"/>
      <c r="AS186" s="487"/>
      <c r="AT186" s="101"/>
      <c r="AU186" s="101"/>
      <c r="AV186" s="101"/>
      <c r="AW186" s="101"/>
      <c r="AX186" s="487"/>
      <c r="AY186" s="101"/>
      <c r="AZ186" s="101"/>
      <c r="BA186" s="101"/>
      <c r="BB186" s="101"/>
      <c r="BC186" s="487"/>
      <c r="BD186" s="101"/>
      <c r="BE186" s="101"/>
      <c r="BF186" s="101"/>
      <c r="BG186" s="101"/>
      <c r="BH186" s="487"/>
      <c r="BI186" s="101"/>
      <c r="BJ186" s="101"/>
      <c r="BK186" s="101"/>
      <c r="BL186" s="101"/>
      <c r="BM186" s="487"/>
      <c r="BN186" s="101"/>
      <c r="BO186" s="101"/>
      <c r="BP186" s="101"/>
      <c r="BQ186" s="101"/>
      <c r="BR186" s="487"/>
      <c r="BS186" s="101"/>
      <c r="BT186" s="101"/>
      <c r="BU186" s="101"/>
      <c r="BV186" s="101"/>
      <c r="BW186" s="398"/>
    </row>
    <row r="187" spans="1:75" x14ac:dyDescent="0.3">
      <c r="A187" s="388"/>
      <c r="B187" s="388"/>
      <c r="C187" s="388"/>
      <c r="D187" s="523"/>
      <c r="E187" s="501"/>
      <c r="F187" s="391"/>
      <c r="G187" s="502"/>
      <c r="H187" s="502"/>
      <c r="I187" s="502"/>
      <c r="J187" s="503"/>
      <c r="K187" s="502"/>
      <c r="L187" s="502"/>
      <c r="M187" s="502"/>
      <c r="N187" s="502"/>
      <c r="O187" s="503"/>
      <c r="P187" s="502"/>
      <c r="Q187" s="502"/>
      <c r="R187" s="502"/>
      <c r="S187" s="502"/>
      <c r="T187" s="503"/>
      <c r="U187" s="502"/>
      <c r="V187" s="502"/>
      <c r="W187" s="502"/>
      <c r="X187" s="502"/>
      <c r="Y187" s="503"/>
      <c r="Z187" s="502"/>
      <c r="AA187" s="502"/>
      <c r="AB187" s="502"/>
      <c r="AC187" s="502"/>
      <c r="AD187" s="503"/>
      <c r="AE187" s="502"/>
      <c r="AF187" s="502"/>
      <c r="AG187" s="502"/>
      <c r="AH187" s="502"/>
      <c r="AI187" s="503"/>
      <c r="AJ187" s="502"/>
      <c r="AK187" s="502"/>
      <c r="AL187" s="502"/>
      <c r="AM187" s="502"/>
      <c r="AN187" s="503"/>
      <c r="AO187" s="502"/>
      <c r="AP187" s="502"/>
      <c r="AQ187" s="502"/>
      <c r="AR187" s="502"/>
      <c r="AS187" s="503"/>
      <c r="AT187" s="502"/>
      <c r="AU187" s="502"/>
      <c r="AV187" s="502"/>
      <c r="AW187" s="502"/>
      <c r="AX187" s="503"/>
      <c r="AY187" s="502"/>
      <c r="AZ187" s="502"/>
      <c r="BA187" s="502"/>
      <c r="BB187" s="502"/>
      <c r="BC187" s="503"/>
      <c r="BD187" s="502"/>
      <c r="BE187" s="502"/>
      <c r="BF187" s="502"/>
      <c r="BG187" s="502"/>
      <c r="BH187" s="503"/>
      <c r="BI187" s="502"/>
      <c r="BJ187" s="502"/>
      <c r="BK187" s="502"/>
      <c r="BL187" s="502"/>
      <c r="BM187" s="503"/>
      <c r="BN187" s="502"/>
      <c r="BO187" s="502"/>
      <c r="BP187" s="502"/>
      <c r="BQ187" s="502"/>
      <c r="BR187" s="503"/>
      <c r="BS187" s="502"/>
      <c r="BT187" s="502"/>
      <c r="BU187" s="502"/>
      <c r="BV187" s="502"/>
      <c r="BW187" s="398"/>
    </row>
    <row r="188" spans="1:75" x14ac:dyDescent="0.3">
      <c r="A188" s="388"/>
      <c r="B188" s="388"/>
      <c r="C188" s="388"/>
      <c r="D188" s="388"/>
      <c r="E188" s="388"/>
      <c r="F188" s="388"/>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c r="BT188" s="101"/>
      <c r="BU188" s="101"/>
      <c r="BV188" s="101"/>
      <c r="BW188" s="388"/>
    </row>
    <row r="189" spans="1:75" ht="6" customHeight="1" x14ac:dyDescent="0.3">
      <c r="A189" s="388"/>
      <c r="B189" s="388"/>
      <c r="C189" s="388"/>
      <c r="D189" s="388"/>
      <c r="E189" s="388"/>
      <c r="F189" s="388"/>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388"/>
    </row>
    <row r="190" spans="1:75" s="388" customFormat="1" x14ac:dyDescent="0.3">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c r="BT190" s="101"/>
      <c r="BU190" s="101"/>
      <c r="BV190" s="101"/>
    </row>
    <row r="191" spans="1:75" s="388" customFormat="1" x14ac:dyDescent="0.3">
      <c r="D191" s="530"/>
      <c r="E191" s="530"/>
      <c r="F191" s="530"/>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c r="BT191" s="101"/>
      <c r="BU191" s="101"/>
      <c r="BV191" s="101"/>
    </row>
    <row r="192" spans="1:75" s="388" customFormat="1" x14ac:dyDescent="0.3"/>
    <row r="193" s="388" customFormat="1" x14ac:dyDescent="0.3"/>
    <row r="194" s="388" customFormat="1" x14ac:dyDescent="0.3"/>
    <row r="195" s="388" customFormat="1" x14ac:dyDescent="0.3"/>
    <row r="196" s="388" customFormat="1" x14ac:dyDescent="0.3"/>
    <row r="197" s="388" customFormat="1" x14ac:dyDescent="0.3"/>
    <row r="198" s="388" customFormat="1" x14ac:dyDescent="0.3"/>
    <row r="199" s="388" customFormat="1" x14ac:dyDescent="0.3"/>
    <row r="200" s="388" customFormat="1" x14ac:dyDescent="0.3"/>
    <row r="201" s="388" customFormat="1" x14ac:dyDescent="0.3"/>
    <row r="202" s="388" customFormat="1" x14ac:dyDescent="0.3"/>
    <row r="203" s="388" customFormat="1" x14ac:dyDescent="0.3"/>
    <row r="204" s="388" customFormat="1" x14ac:dyDescent="0.3"/>
    <row r="205" s="388" customFormat="1" x14ac:dyDescent="0.3"/>
    <row r="206" s="388" customFormat="1" x14ac:dyDescent="0.3"/>
    <row r="207" s="388" customFormat="1" x14ac:dyDescent="0.3"/>
    <row r="208" s="388" customFormat="1" x14ac:dyDescent="0.3"/>
    <row r="209" s="388" customFormat="1" x14ac:dyDescent="0.3"/>
    <row r="210" s="388" customFormat="1" x14ac:dyDescent="0.3"/>
    <row r="211" s="388" customFormat="1" x14ac:dyDescent="0.3"/>
    <row r="212" s="388" customFormat="1" x14ac:dyDescent="0.3"/>
    <row r="213" s="388" customFormat="1" x14ac:dyDescent="0.3"/>
    <row r="214" s="388" customFormat="1" x14ac:dyDescent="0.3"/>
    <row r="215" s="388" customFormat="1" x14ac:dyDescent="0.3"/>
    <row r="216" s="388" customFormat="1" x14ac:dyDescent="0.3"/>
    <row r="217" s="388" customFormat="1" x14ac:dyDescent="0.3"/>
    <row r="218" s="388" customFormat="1" x14ac:dyDescent="0.3"/>
    <row r="219" s="388" customFormat="1" x14ac:dyDescent="0.3"/>
    <row r="220" s="388" customFormat="1" x14ac:dyDescent="0.3"/>
    <row r="221" s="388" customFormat="1" x14ac:dyDescent="0.3"/>
    <row r="222" s="388" customFormat="1" x14ac:dyDescent="0.3"/>
    <row r="223" s="388" customFormat="1" x14ac:dyDescent="0.3"/>
    <row r="224" s="388" customFormat="1" x14ac:dyDescent="0.3"/>
    <row r="225" s="388" customFormat="1" x14ac:dyDescent="0.3"/>
    <row r="226" s="388" customFormat="1" x14ac:dyDescent="0.3"/>
    <row r="227" s="388" customFormat="1" x14ac:dyDescent="0.3"/>
    <row r="228" s="388" customFormat="1" x14ac:dyDescent="0.3"/>
    <row r="229" s="388" customFormat="1" x14ac:dyDescent="0.3"/>
    <row r="230" s="388" customFormat="1" x14ac:dyDescent="0.3"/>
    <row r="231" s="388" customFormat="1" x14ac:dyDescent="0.3"/>
    <row r="232" s="388" customFormat="1" x14ac:dyDescent="0.3"/>
    <row r="233" s="388" customFormat="1" x14ac:dyDescent="0.3"/>
    <row r="234" s="388" customFormat="1" x14ac:dyDescent="0.3"/>
    <row r="235" s="388" customFormat="1" x14ac:dyDescent="0.3"/>
    <row r="236" s="388" customFormat="1" x14ac:dyDescent="0.3"/>
    <row r="237" s="388" customFormat="1" x14ac:dyDescent="0.3"/>
    <row r="238" s="388" customFormat="1" x14ac:dyDescent="0.3"/>
    <row r="239" s="388" customFormat="1" x14ac:dyDescent="0.3"/>
    <row r="240" s="388" customFormat="1" x14ac:dyDescent="0.3"/>
    <row r="241" s="388" customFormat="1" x14ac:dyDescent="0.3"/>
    <row r="242" s="388" customFormat="1" x14ac:dyDescent="0.3"/>
    <row r="243" s="388" customFormat="1" x14ac:dyDescent="0.3"/>
    <row r="244" s="388" customFormat="1" x14ac:dyDescent="0.3"/>
    <row r="245" s="388" customFormat="1" x14ac:dyDescent="0.3"/>
    <row r="246" s="388" customFormat="1" x14ac:dyDescent="0.3"/>
    <row r="247" s="388" customFormat="1" x14ac:dyDescent="0.3"/>
    <row r="248" s="388" customFormat="1" x14ac:dyDescent="0.3"/>
    <row r="249" s="388" customFormat="1" x14ac:dyDescent="0.3"/>
    <row r="250" s="388" customFormat="1" x14ac:dyDescent="0.3"/>
    <row r="251" s="388" customFormat="1" x14ac:dyDescent="0.3"/>
    <row r="252" s="388" customFormat="1" x14ac:dyDescent="0.3"/>
    <row r="253" s="388" customFormat="1" x14ac:dyDescent="0.3"/>
    <row r="254" s="388" customFormat="1" x14ac:dyDescent="0.3"/>
    <row r="255" s="388" customFormat="1" x14ac:dyDescent="0.3"/>
    <row r="256" s="388" customFormat="1" x14ac:dyDescent="0.3"/>
    <row r="257" s="388" customFormat="1" x14ac:dyDescent="0.3"/>
    <row r="258" s="388" customFormat="1" x14ac:dyDescent="0.3"/>
    <row r="259" s="388" customFormat="1" x14ac:dyDescent="0.3"/>
    <row r="260" s="388" customFormat="1" x14ac:dyDescent="0.3"/>
    <row r="261" s="388" customFormat="1" x14ac:dyDescent="0.3"/>
    <row r="262" s="388" customFormat="1" x14ac:dyDescent="0.3"/>
    <row r="263" s="388" customFormat="1" x14ac:dyDescent="0.3"/>
    <row r="264" s="388" customFormat="1" x14ac:dyDescent="0.3"/>
    <row r="265" s="388" customFormat="1" x14ac:dyDescent="0.3"/>
    <row r="266" s="388" customFormat="1" x14ac:dyDescent="0.3"/>
    <row r="267" s="388" customFormat="1" x14ac:dyDescent="0.3"/>
    <row r="268" s="388" customFormat="1" x14ac:dyDescent="0.3"/>
    <row r="269" s="388" customFormat="1" x14ac:dyDescent="0.3"/>
    <row r="270" s="388" customFormat="1" x14ac:dyDescent="0.3"/>
    <row r="271" s="388" customFormat="1" x14ac:dyDescent="0.3"/>
    <row r="272" s="388" customFormat="1" x14ac:dyDescent="0.3"/>
    <row r="273" s="388" customFormat="1" x14ac:dyDescent="0.3"/>
    <row r="274" s="388" customFormat="1" x14ac:dyDescent="0.3"/>
    <row r="275" s="388" customFormat="1" x14ac:dyDescent="0.3"/>
    <row r="276" s="388" customFormat="1" x14ac:dyDescent="0.3"/>
    <row r="277" s="388" customFormat="1" x14ac:dyDescent="0.3"/>
    <row r="278" s="388" customFormat="1" x14ac:dyDescent="0.3"/>
    <row r="279" s="388" customFormat="1" x14ac:dyDescent="0.3"/>
    <row r="280" s="388" customFormat="1" x14ac:dyDescent="0.3"/>
    <row r="281" s="388" customFormat="1" x14ac:dyDescent="0.3"/>
    <row r="282" s="388" customFormat="1" x14ac:dyDescent="0.3"/>
    <row r="283" s="388" customFormat="1" x14ac:dyDescent="0.3"/>
    <row r="284" s="388" customFormat="1" x14ac:dyDescent="0.3"/>
    <row r="285" s="388" customFormat="1" x14ac:dyDescent="0.3"/>
    <row r="286" s="388" customFormat="1" x14ac:dyDescent="0.3"/>
    <row r="287" s="388" customFormat="1" x14ac:dyDescent="0.3"/>
    <row r="288" s="388" customFormat="1" x14ac:dyDescent="0.3"/>
    <row r="289" s="388" customFormat="1" x14ac:dyDescent="0.3"/>
    <row r="290" s="388" customFormat="1" x14ac:dyDescent="0.3"/>
    <row r="291" s="388" customFormat="1" x14ac:dyDescent="0.3"/>
    <row r="292" s="388" customFormat="1" x14ac:dyDescent="0.3"/>
    <row r="293" s="388" customFormat="1" x14ac:dyDescent="0.3"/>
    <row r="294" s="388" customFormat="1" x14ac:dyDescent="0.3"/>
    <row r="295" s="388" customFormat="1" x14ac:dyDescent="0.3"/>
    <row r="296" s="388" customFormat="1" x14ac:dyDescent="0.3"/>
    <row r="297" s="388" customFormat="1" x14ac:dyDescent="0.3"/>
    <row r="298" s="388" customFormat="1" x14ac:dyDescent="0.3"/>
    <row r="299" s="388" customFormat="1" x14ac:dyDescent="0.3"/>
    <row r="300" s="388" customFormat="1" x14ac:dyDescent="0.3"/>
    <row r="301" s="388" customFormat="1" x14ac:dyDescent="0.3"/>
    <row r="302" s="388" customFormat="1" x14ac:dyDescent="0.3"/>
    <row r="303" s="388" customFormat="1" x14ac:dyDescent="0.3"/>
    <row r="304" s="388" customFormat="1" x14ac:dyDescent="0.3"/>
    <row r="305" s="388" customFormat="1" x14ac:dyDescent="0.3"/>
    <row r="306" s="388" customFormat="1" x14ac:dyDescent="0.3"/>
    <row r="307" s="388" customFormat="1" x14ac:dyDescent="0.3"/>
    <row r="308" s="388" customFormat="1" x14ac:dyDescent="0.3"/>
    <row r="309" s="388" customFormat="1" x14ac:dyDescent="0.3"/>
    <row r="310" s="388" customFormat="1" x14ac:dyDescent="0.3"/>
    <row r="311" s="388" customFormat="1" x14ac:dyDescent="0.3"/>
    <row r="312" s="388" customFormat="1" x14ac:dyDescent="0.3"/>
    <row r="313" s="388" customFormat="1" x14ac:dyDescent="0.3"/>
    <row r="314" s="388" customFormat="1" x14ac:dyDescent="0.3"/>
    <row r="315" s="388" customFormat="1" x14ac:dyDescent="0.3"/>
    <row r="316" s="388" customFormat="1" x14ac:dyDescent="0.3"/>
    <row r="317" s="388" customFormat="1" x14ac:dyDescent="0.3"/>
    <row r="318" s="388" customFormat="1" x14ac:dyDescent="0.3"/>
    <row r="319" s="388" customFormat="1" x14ac:dyDescent="0.3"/>
    <row r="320" s="388" customFormat="1" x14ac:dyDescent="0.3"/>
    <row r="321" s="388" customFormat="1" x14ac:dyDescent="0.3"/>
    <row r="322" s="388" customFormat="1" x14ac:dyDescent="0.3"/>
    <row r="323" s="388" customFormat="1" x14ac:dyDescent="0.3"/>
    <row r="324" s="388" customFormat="1" x14ac:dyDescent="0.3"/>
    <row r="325" s="388" customFormat="1" x14ac:dyDescent="0.3"/>
    <row r="326" s="388" customFormat="1" x14ac:dyDescent="0.3"/>
    <row r="327" s="388" customFormat="1" x14ac:dyDescent="0.3"/>
    <row r="328" s="388" customFormat="1" x14ac:dyDescent="0.3"/>
    <row r="329" s="388" customFormat="1" x14ac:dyDescent="0.3"/>
    <row r="330" s="388" customFormat="1" x14ac:dyDescent="0.3"/>
    <row r="331" s="388" customFormat="1" x14ac:dyDescent="0.3"/>
    <row r="332" s="388" customFormat="1" x14ac:dyDescent="0.3"/>
    <row r="333" s="388" customFormat="1" x14ac:dyDescent="0.3"/>
    <row r="334" s="388" customFormat="1" x14ac:dyDescent="0.3"/>
    <row r="335" s="388" customFormat="1" x14ac:dyDescent="0.3"/>
    <row r="336" s="388" customFormat="1" x14ac:dyDescent="0.3"/>
    <row r="337" s="388" customFormat="1" x14ac:dyDescent="0.3"/>
    <row r="338" s="388" customFormat="1" x14ac:dyDescent="0.3"/>
    <row r="339" s="388" customFormat="1" x14ac:dyDescent="0.3"/>
    <row r="340" s="388" customFormat="1" x14ac:dyDescent="0.3"/>
    <row r="341" s="388" customFormat="1" x14ac:dyDescent="0.3"/>
    <row r="342" s="388" customFormat="1" x14ac:dyDescent="0.3"/>
    <row r="343" s="388" customFormat="1" x14ac:dyDescent="0.3"/>
    <row r="344" s="388" customFormat="1" x14ac:dyDescent="0.3"/>
    <row r="345" s="388" customFormat="1" x14ac:dyDescent="0.3"/>
    <row r="346" s="388" customFormat="1" x14ac:dyDescent="0.3"/>
    <row r="347" s="388" customFormat="1" x14ac:dyDescent="0.3"/>
    <row r="348" s="388" customFormat="1" x14ac:dyDescent="0.3"/>
    <row r="349" s="388" customFormat="1" x14ac:dyDescent="0.3"/>
    <row r="350" s="388" customFormat="1" x14ac:dyDescent="0.3"/>
    <row r="351" s="388" customFormat="1" x14ac:dyDescent="0.3"/>
    <row r="352" s="388" customFormat="1" x14ac:dyDescent="0.3"/>
    <row r="353" s="388" customFormat="1" x14ac:dyDescent="0.3"/>
    <row r="354" s="388" customFormat="1" x14ac:dyDescent="0.3"/>
    <row r="355" s="388" customFormat="1" x14ac:dyDescent="0.3"/>
    <row r="356" s="388" customFormat="1" x14ac:dyDescent="0.3"/>
    <row r="357" s="388" customFormat="1" x14ac:dyDescent="0.3"/>
    <row r="358" s="388" customFormat="1" x14ac:dyDescent="0.3"/>
    <row r="359" s="388" customFormat="1" x14ac:dyDescent="0.3"/>
    <row r="360" s="388" customFormat="1" x14ac:dyDescent="0.3"/>
    <row r="361" s="388" customFormat="1" x14ac:dyDescent="0.3"/>
  </sheetData>
  <mergeCells count="1">
    <mergeCell ref="G8:BT8"/>
  </mergeCells>
  <pageMargins left="0.7" right="0.7" top="0.75" bottom="0.75" header="0.3" footer="0.3"/>
  <pageSetup paperSize="9" scale="2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07"/>
  <sheetViews>
    <sheetView view="pageBreakPreview" topLeftCell="AW1" zoomScale="93" zoomScaleNormal="100" zoomScaleSheetLayoutView="93" workbookViewId="0">
      <selection activeCell="BN12" sqref="BN12"/>
    </sheetView>
  </sheetViews>
  <sheetFormatPr defaultColWidth="10" defaultRowHeight="13.8" x14ac:dyDescent="0.3"/>
  <cols>
    <col min="1" max="1" width="1.88671875" style="38" hidden="1" customWidth="1"/>
    <col min="2" max="3" width="0.88671875" style="38" hidden="1" customWidth="1"/>
    <col min="4" max="4" width="64.88671875" style="38" customWidth="1"/>
    <col min="5" max="5" width="7" style="531" customWidth="1"/>
    <col min="6" max="7" width="1" style="38" customWidth="1"/>
    <col min="8" max="8" width="15.109375" style="38" customWidth="1"/>
    <col min="9" max="10" width="1" style="38" customWidth="1"/>
    <col min="11" max="11" width="0.88671875" style="38" customWidth="1"/>
    <col min="12" max="12" width="1" style="38" customWidth="1"/>
    <col min="13" max="13" width="17.88671875" style="38" customWidth="1"/>
    <col min="14" max="17" width="1" style="38" customWidth="1"/>
    <col min="18" max="18" width="17.88671875" style="38" customWidth="1"/>
    <col min="19" max="22" width="1" style="38" customWidth="1"/>
    <col min="23" max="23" width="17.88671875" style="38" customWidth="1"/>
    <col min="24" max="27" width="1" style="38" customWidth="1"/>
    <col min="28" max="28" width="17.88671875" style="38" customWidth="1"/>
    <col min="29" max="32" width="1" style="38" customWidth="1"/>
    <col min="33" max="33" width="17.88671875" style="38" customWidth="1"/>
    <col min="34" max="37" width="1" style="38" customWidth="1"/>
    <col min="38" max="38" width="17.88671875" style="38" customWidth="1"/>
    <col min="39" max="40" width="1" style="38" customWidth="1"/>
    <col min="41" max="41" width="1.33203125" style="38" customWidth="1"/>
    <col min="42" max="42" width="1" style="38" customWidth="1"/>
    <col min="43" max="43" width="17.88671875" style="38" customWidth="1"/>
    <col min="44" max="47" width="1" style="38" customWidth="1"/>
    <col min="48" max="48" width="14.6640625" style="38" customWidth="1"/>
    <col min="49" max="52" width="1" style="38" customWidth="1"/>
    <col min="53" max="53" width="17.88671875" style="38" customWidth="1"/>
    <col min="54" max="57" width="1" style="38" customWidth="1"/>
    <col min="58" max="58" width="17.88671875" style="38" customWidth="1"/>
    <col min="59" max="62" width="1" style="38" customWidth="1"/>
    <col min="63" max="63" width="17.88671875" style="38" customWidth="1"/>
    <col min="64" max="67" width="1" style="38" customWidth="1"/>
    <col min="68" max="68" width="17.88671875" style="38" customWidth="1"/>
    <col min="69" max="72" width="1" style="38" customWidth="1"/>
    <col min="73" max="73" width="18.6640625" style="38" bestFit="1" customWidth="1"/>
    <col min="74" max="75" width="1" style="38" customWidth="1"/>
    <col min="76" max="76" width="0.44140625" style="38" hidden="1" customWidth="1"/>
    <col min="77" max="77" width="1" style="38" hidden="1" customWidth="1"/>
    <col min="78" max="78" width="11.44140625" style="38" hidden="1" customWidth="1"/>
    <col min="79" max="79" width="2.109375" style="38" hidden="1" customWidth="1"/>
    <col min="80" max="82" width="1" style="38" hidden="1" customWidth="1"/>
    <col min="83" max="83" width="10.6640625" style="38" hidden="1" customWidth="1"/>
    <col min="84" max="84" width="1" style="38" hidden="1" customWidth="1"/>
    <col min="85" max="85" width="1.5546875" style="38" hidden="1" customWidth="1"/>
    <col min="86" max="87" width="1" style="38" hidden="1" customWidth="1"/>
    <col min="88" max="88" width="12.44140625" style="38" hidden="1" customWidth="1"/>
    <col min="89" max="90" width="1" style="38" hidden="1" customWidth="1"/>
    <col min="91" max="91" width="0.88671875" style="38" hidden="1" customWidth="1"/>
    <col min="92" max="92" width="1.109375" style="38" hidden="1" customWidth="1"/>
    <col min="93" max="93" width="12.33203125" style="38" hidden="1" customWidth="1"/>
    <col min="94" max="97" width="1" style="38" hidden="1" customWidth="1"/>
    <col min="98" max="98" width="13.88671875" style="38" hidden="1" customWidth="1"/>
    <col min="99" max="102" width="1" style="38" hidden="1" customWidth="1"/>
    <col min="103" max="103" width="11.33203125" style="38" hidden="1" customWidth="1"/>
    <col min="104" max="107" width="1" style="38" hidden="1" customWidth="1"/>
    <col min="108" max="108" width="14.6640625" style="38" hidden="1" customWidth="1"/>
    <col min="109" max="109" width="1" style="38" hidden="1" customWidth="1"/>
    <col min="110" max="110" width="0.6640625" style="38" hidden="1" customWidth="1"/>
    <col min="111" max="111" width="1.6640625" style="38" hidden="1" customWidth="1"/>
    <col min="112" max="112" width="1" style="38" hidden="1" customWidth="1"/>
    <col min="113" max="113" width="13.5546875" style="38" hidden="1" customWidth="1"/>
    <col min="114" max="117" width="1" style="38" hidden="1" customWidth="1"/>
    <col min="118" max="118" width="13" style="38" hidden="1" customWidth="1"/>
    <col min="119" max="122" width="1" style="38" hidden="1" customWidth="1"/>
    <col min="123" max="123" width="14.33203125" style="38" hidden="1" customWidth="1"/>
    <col min="124" max="127" width="1" style="38" hidden="1" customWidth="1"/>
    <col min="128" max="128" width="13.44140625" style="38" hidden="1" customWidth="1"/>
    <col min="129" max="130" width="1" style="38" hidden="1" customWidth="1"/>
    <col min="131" max="131" width="1" style="38" customWidth="1"/>
    <col min="132" max="132" width="1.88671875" style="38" customWidth="1"/>
    <col min="133" max="133" width="11.6640625" style="38" bestFit="1" customWidth="1"/>
    <col min="134" max="134" width="10" style="38" customWidth="1"/>
    <col min="135" max="135" width="10.44140625" style="38" bestFit="1" customWidth="1"/>
    <col min="136" max="136" width="10" style="38" customWidth="1"/>
    <col min="137" max="138" width="10" style="38"/>
    <col min="139" max="139" width="13.44140625" style="38" bestFit="1" customWidth="1"/>
    <col min="140" max="251" width="10" style="38"/>
    <col min="252" max="254" width="0" style="38" hidden="1" customWidth="1"/>
    <col min="255" max="255" width="64.88671875" style="38" customWidth="1"/>
    <col min="256" max="256" width="7" style="38" customWidth="1"/>
    <col min="257" max="258" width="1" style="38" customWidth="1"/>
    <col min="259" max="259" width="15.109375" style="38" customWidth="1"/>
    <col min="260" max="261" width="1" style="38" customWidth="1"/>
    <col min="262" max="262" width="0.88671875" style="38" customWidth="1"/>
    <col min="263" max="263" width="1" style="38" customWidth="1"/>
    <col min="264" max="264" width="17.88671875" style="38" customWidth="1"/>
    <col min="265" max="268" width="1" style="38" customWidth="1"/>
    <col min="269" max="269" width="17.88671875" style="38" customWidth="1"/>
    <col min="270" max="273" width="1" style="38" customWidth="1"/>
    <col min="274" max="274" width="17.88671875" style="38" customWidth="1"/>
    <col min="275" max="278" width="1" style="38" customWidth="1"/>
    <col min="279" max="279" width="17.88671875" style="38" customWidth="1"/>
    <col min="280" max="283" width="1" style="38" customWidth="1"/>
    <col min="284" max="284" width="17.88671875" style="38" customWidth="1"/>
    <col min="285" max="288" width="1" style="38" customWidth="1"/>
    <col min="289" max="289" width="17.88671875" style="38" customWidth="1"/>
    <col min="290" max="291" width="1" style="38" customWidth="1"/>
    <col min="292" max="292" width="1.33203125" style="38" customWidth="1"/>
    <col min="293" max="293" width="1" style="38" customWidth="1"/>
    <col min="294" max="294" width="17.88671875" style="38" customWidth="1"/>
    <col min="295" max="298" width="1" style="38" customWidth="1"/>
    <col min="299" max="299" width="14.6640625" style="38" customWidth="1"/>
    <col min="300" max="303" width="1" style="38" customWidth="1"/>
    <col min="304" max="304" width="17.88671875" style="38" customWidth="1"/>
    <col min="305" max="308" width="1" style="38" customWidth="1"/>
    <col min="309" max="309" width="17.88671875" style="38" customWidth="1"/>
    <col min="310" max="313" width="1" style="38" customWidth="1"/>
    <col min="314" max="314" width="17.88671875" style="38" customWidth="1"/>
    <col min="315" max="318" width="1" style="38" customWidth="1"/>
    <col min="319" max="319" width="17.88671875" style="38" customWidth="1"/>
    <col min="320" max="323" width="1" style="38" customWidth="1"/>
    <col min="324" max="324" width="18.6640625" style="38" bestFit="1" customWidth="1"/>
    <col min="325" max="328" width="1" style="38" customWidth="1"/>
    <col min="329" max="329" width="17.33203125" style="38" customWidth="1"/>
    <col min="330" max="330" width="0.6640625" style="38" customWidth="1"/>
    <col min="331" max="331" width="1" style="38" customWidth="1"/>
    <col min="332" max="386" width="0" style="38" hidden="1" customWidth="1"/>
    <col min="387" max="387" width="1" style="38" customWidth="1"/>
    <col min="388" max="388" width="1.88671875" style="38" customWidth="1"/>
    <col min="389" max="389" width="11.6640625" style="38" bestFit="1" customWidth="1"/>
    <col min="390" max="390" width="10" style="38" customWidth="1"/>
    <col min="391" max="391" width="10.44140625" style="38" bestFit="1" customWidth="1"/>
    <col min="392" max="392" width="10" style="38" customWidth="1"/>
    <col min="393" max="394" width="10" style="38"/>
    <col min="395" max="395" width="13.44140625" style="38" bestFit="1" customWidth="1"/>
    <col min="396" max="507" width="10" style="38"/>
    <col min="508" max="510" width="0" style="38" hidden="1" customWidth="1"/>
    <col min="511" max="511" width="64.88671875" style="38" customWidth="1"/>
    <col min="512" max="512" width="7" style="38" customWidth="1"/>
    <col min="513" max="514" width="1" style="38" customWidth="1"/>
    <col min="515" max="515" width="15.109375" style="38" customWidth="1"/>
    <col min="516" max="517" width="1" style="38" customWidth="1"/>
    <col min="518" max="518" width="0.88671875" style="38" customWidth="1"/>
    <col min="519" max="519" width="1" style="38" customWidth="1"/>
    <col min="520" max="520" width="17.88671875" style="38" customWidth="1"/>
    <col min="521" max="524" width="1" style="38" customWidth="1"/>
    <col min="525" max="525" width="17.88671875" style="38" customWidth="1"/>
    <col min="526" max="529" width="1" style="38" customWidth="1"/>
    <col min="530" max="530" width="17.88671875" style="38" customWidth="1"/>
    <col min="531" max="534" width="1" style="38" customWidth="1"/>
    <col min="535" max="535" width="17.88671875" style="38" customWidth="1"/>
    <col min="536" max="539" width="1" style="38" customWidth="1"/>
    <col min="540" max="540" width="17.88671875" style="38" customWidth="1"/>
    <col min="541" max="544" width="1" style="38" customWidth="1"/>
    <col min="545" max="545" width="17.88671875" style="38" customWidth="1"/>
    <col min="546" max="547" width="1" style="38" customWidth="1"/>
    <col min="548" max="548" width="1.33203125" style="38" customWidth="1"/>
    <col min="549" max="549" width="1" style="38" customWidth="1"/>
    <col min="550" max="550" width="17.88671875" style="38" customWidth="1"/>
    <col min="551" max="554" width="1" style="38" customWidth="1"/>
    <col min="555" max="555" width="14.6640625" style="38" customWidth="1"/>
    <col min="556" max="559" width="1" style="38" customWidth="1"/>
    <col min="560" max="560" width="17.88671875" style="38" customWidth="1"/>
    <col min="561" max="564" width="1" style="38" customWidth="1"/>
    <col min="565" max="565" width="17.88671875" style="38" customWidth="1"/>
    <col min="566" max="569" width="1" style="38" customWidth="1"/>
    <col min="570" max="570" width="17.88671875" style="38" customWidth="1"/>
    <col min="571" max="574" width="1" style="38" customWidth="1"/>
    <col min="575" max="575" width="17.88671875" style="38" customWidth="1"/>
    <col min="576" max="579" width="1" style="38" customWidth="1"/>
    <col min="580" max="580" width="18.6640625" style="38" bestFit="1" customWidth="1"/>
    <col min="581" max="584" width="1" style="38" customWidth="1"/>
    <col min="585" max="585" width="17.33203125" style="38" customWidth="1"/>
    <col min="586" max="586" width="0.6640625" style="38" customWidth="1"/>
    <col min="587" max="587" width="1" style="38" customWidth="1"/>
    <col min="588" max="642" width="0" style="38" hidden="1" customWidth="1"/>
    <col min="643" max="643" width="1" style="38" customWidth="1"/>
    <col min="644" max="644" width="1.88671875" style="38" customWidth="1"/>
    <col min="645" max="645" width="11.6640625" style="38" bestFit="1" customWidth="1"/>
    <col min="646" max="646" width="10" style="38" customWidth="1"/>
    <col min="647" max="647" width="10.44140625" style="38" bestFit="1" customWidth="1"/>
    <col min="648" max="648" width="10" style="38" customWidth="1"/>
    <col min="649" max="650" width="10" style="38"/>
    <col min="651" max="651" width="13.44140625" style="38" bestFit="1" customWidth="1"/>
    <col min="652" max="763" width="10" style="38"/>
    <col min="764" max="766" width="0" style="38" hidden="1" customWidth="1"/>
    <col min="767" max="767" width="64.88671875" style="38" customWidth="1"/>
    <col min="768" max="768" width="7" style="38" customWidth="1"/>
    <col min="769" max="770" width="1" style="38" customWidth="1"/>
    <col min="771" max="771" width="15.109375" style="38" customWidth="1"/>
    <col min="772" max="773" width="1" style="38" customWidth="1"/>
    <col min="774" max="774" width="0.88671875" style="38" customWidth="1"/>
    <col min="775" max="775" width="1" style="38" customWidth="1"/>
    <col min="776" max="776" width="17.88671875" style="38" customWidth="1"/>
    <col min="777" max="780" width="1" style="38" customWidth="1"/>
    <col min="781" max="781" width="17.88671875" style="38" customWidth="1"/>
    <col min="782" max="785" width="1" style="38" customWidth="1"/>
    <col min="786" max="786" width="17.88671875" style="38" customWidth="1"/>
    <col min="787" max="790" width="1" style="38" customWidth="1"/>
    <col min="791" max="791" width="17.88671875" style="38" customWidth="1"/>
    <col min="792" max="795" width="1" style="38" customWidth="1"/>
    <col min="796" max="796" width="17.88671875" style="38" customWidth="1"/>
    <col min="797" max="800" width="1" style="38" customWidth="1"/>
    <col min="801" max="801" width="17.88671875" style="38" customWidth="1"/>
    <col min="802" max="803" width="1" style="38" customWidth="1"/>
    <col min="804" max="804" width="1.33203125" style="38" customWidth="1"/>
    <col min="805" max="805" width="1" style="38" customWidth="1"/>
    <col min="806" max="806" width="17.88671875" style="38" customWidth="1"/>
    <col min="807" max="810" width="1" style="38" customWidth="1"/>
    <col min="811" max="811" width="14.6640625" style="38" customWidth="1"/>
    <col min="812" max="815" width="1" style="38" customWidth="1"/>
    <col min="816" max="816" width="17.88671875" style="38" customWidth="1"/>
    <col min="817" max="820" width="1" style="38" customWidth="1"/>
    <col min="821" max="821" width="17.88671875" style="38" customWidth="1"/>
    <col min="822" max="825" width="1" style="38" customWidth="1"/>
    <col min="826" max="826" width="17.88671875" style="38" customWidth="1"/>
    <col min="827" max="830" width="1" style="38" customWidth="1"/>
    <col min="831" max="831" width="17.88671875" style="38" customWidth="1"/>
    <col min="832" max="835" width="1" style="38" customWidth="1"/>
    <col min="836" max="836" width="18.6640625" style="38" bestFit="1" customWidth="1"/>
    <col min="837" max="840" width="1" style="38" customWidth="1"/>
    <col min="841" max="841" width="17.33203125" style="38" customWidth="1"/>
    <col min="842" max="842" width="0.6640625" style="38" customWidth="1"/>
    <col min="843" max="843" width="1" style="38" customWidth="1"/>
    <col min="844" max="898" width="0" style="38" hidden="1" customWidth="1"/>
    <col min="899" max="899" width="1" style="38" customWidth="1"/>
    <col min="900" max="900" width="1.88671875" style="38" customWidth="1"/>
    <col min="901" max="901" width="11.6640625" style="38" bestFit="1" customWidth="1"/>
    <col min="902" max="902" width="10" style="38" customWidth="1"/>
    <col min="903" max="903" width="10.44140625" style="38" bestFit="1" customWidth="1"/>
    <col min="904" max="904" width="10" style="38" customWidth="1"/>
    <col min="905" max="906" width="10" style="38"/>
    <col min="907" max="907" width="13.44140625" style="38" bestFit="1" customWidth="1"/>
    <col min="908" max="1019" width="10" style="38"/>
    <col min="1020" max="1022" width="0" style="38" hidden="1" customWidth="1"/>
    <col min="1023" max="1023" width="64.88671875" style="38" customWidth="1"/>
    <col min="1024" max="1024" width="7" style="38" customWidth="1"/>
    <col min="1025" max="1026" width="1" style="38" customWidth="1"/>
    <col min="1027" max="1027" width="15.109375" style="38" customWidth="1"/>
    <col min="1028" max="1029" width="1" style="38" customWidth="1"/>
    <col min="1030" max="1030" width="0.88671875" style="38" customWidth="1"/>
    <col min="1031" max="1031" width="1" style="38" customWidth="1"/>
    <col min="1032" max="1032" width="17.88671875" style="38" customWidth="1"/>
    <col min="1033" max="1036" width="1" style="38" customWidth="1"/>
    <col min="1037" max="1037" width="17.88671875" style="38" customWidth="1"/>
    <col min="1038" max="1041" width="1" style="38" customWidth="1"/>
    <col min="1042" max="1042" width="17.88671875" style="38" customWidth="1"/>
    <col min="1043" max="1046" width="1" style="38" customWidth="1"/>
    <col min="1047" max="1047" width="17.88671875" style="38" customWidth="1"/>
    <col min="1048" max="1051" width="1" style="38" customWidth="1"/>
    <col min="1052" max="1052" width="17.88671875" style="38" customWidth="1"/>
    <col min="1053" max="1056" width="1" style="38" customWidth="1"/>
    <col min="1057" max="1057" width="17.88671875" style="38" customWidth="1"/>
    <col min="1058" max="1059" width="1" style="38" customWidth="1"/>
    <col min="1060" max="1060" width="1.33203125" style="38" customWidth="1"/>
    <col min="1061" max="1061" width="1" style="38" customWidth="1"/>
    <col min="1062" max="1062" width="17.88671875" style="38" customWidth="1"/>
    <col min="1063" max="1066" width="1" style="38" customWidth="1"/>
    <col min="1067" max="1067" width="14.6640625" style="38" customWidth="1"/>
    <col min="1068" max="1071" width="1" style="38" customWidth="1"/>
    <col min="1072" max="1072" width="17.88671875" style="38" customWidth="1"/>
    <col min="1073" max="1076" width="1" style="38" customWidth="1"/>
    <col min="1077" max="1077" width="17.88671875" style="38" customWidth="1"/>
    <col min="1078" max="1081" width="1" style="38" customWidth="1"/>
    <col min="1082" max="1082" width="17.88671875" style="38" customWidth="1"/>
    <col min="1083" max="1086" width="1" style="38" customWidth="1"/>
    <col min="1087" max="1087" width="17.88671875" style="38" customWidth="1"/>
    <col min="1088" max="1091" width="1" style="38" customWidth="1"/>
    <col min="1092" max="1092" width="18.6640625" style="38" bestFit="1" customWidth="1"/>
    <col min="1093" max="1096" width="1" style="38" customWidth="1"/>
    <col min="1097" max="1097" width="17.33203125" style="38" customWidth="1"/>
    <col min="1098" max="1098" width="0.6640625" style="38" customWidth="1"/>
    <col min="1099" max="1099" width="1" style="38" customWidth="1"/>
    <col min="1100" max="1154" width="0" style="38" hidden="1" customWidth="1"/>
    <col min="1155" max="1155" width="1" style="38" customWidth="1"/>
    <col min="1156" max="1156" width="1.88671875" style="38" customWidth="1"/>
    <col min="1157" max="1157" width="11.6640625" style="38" bestFit="1" customWidth="1"/>
    <col min="1158" max="1158" width="10" style="38" customWidth="1"/>
    <col min="1159" max="1159" width="10.44140625" style="38" bestFit="1" customWidth="1"/>
    <col min="1160" max="1160" width="10" style="38" customWidth="1"/>
    <col min="1161" max="1162" width="10" style="38"/>
    <col min="1163" max="1163" width="13.44140625" style="38" bestFit="1" customWidth="1"/>
    <col min="1164" max="1275" width="10" style="38"/>
    <col min="1276" max="1278" width="0" style="38" hidden="1" customWidth="1"/>
    <col min="1279" max="1279" width="64.88671875" style="38" customWidth="1"/>
    <col min="1280" max="1280" width="7" style="38" customWidth="1"/>
    <col min="1281" max="1282" width="1" style="38" customWidth="1"/>
    <col min="1283" max="1283" width="15.109375" style="38" customWidth="1"/>
    <col min="1284" max="1285" width="1" style="38" customWidth="1"/>
    <col min="1286" max="1286" width="0.88671875" style="38" customWidth="1"/>
    <col min="1287" max="1287" width="1" style="38" customWidth="1"/>
    <col min="1288" max="1288" width="17.88671875" style="38" customWidth="1"/>
    <col min="1289" max="1292" width="1" style="38" customWidth="1"/>
    <col min="1293" max="1293" width="17.88671875" style="38" customWidth="1"/>
    <col min="1294" max="1297" width="1" style="38" customWidth="1"/>
    <col min="1298" max="1298" width="17.88671875" style="38" customWidth="1"/>
    <col min="1299" max="1302" width="1" style="38" customWidth="1"/>
    <col min="1303" max="1303" width="17.88671875" style="38" customWidth="1"/>
    <col min="1304" max="1307" width="1" style="38" customWidth="1"/>
    <col min="1308" max="1308" width="17.88671875" style="38" customWidth="1"/>
    <col min="1309" max="1312" width="1" style="38" customWidth="1"/>
    <col min="1313" max="1313" width="17.88671875" style="38" customWidth="1"/>
    <col min="1314" max="1315" width="1" style="38" customWidth="1"/>
    <col min="1316" max="1316" width="1.33203125" style="38" customWidth="1"/>
    <col min="1317" max="1317" width="1" style="38" customWidth="1"/>
    <col min="1318" max="1318" width="17.88671875" style="38" customWidth="1"/>
    <col min="1319" max="1322" width="1" style="38" customWidth="1"/>
    <col min="1323" max="1323" width="14.6640625" style="38" customWidth="1"/>
    <col min="1324" max="1327" width="1" style="38" customWidth="1"/>
    <col min="1328" max="1328" width="17.88671875" style="38" customWidth="1"/>
    <col min="1329" max="1332" width="1" style="38" customWidth="1"/>
    <col min="1333" max="1333" width="17.88671875" style="38" customWidth="1"/>
    <col min="1334" max="1337" width="1" style="38" customWidth="1"/>
    <col min="1338" max="1338" width="17.88671875" style="38" customWidth="1"/>
    <col min="1339" max="1342" width="1" style="38" customWidth="1"/>
    <col min="1343" max="1343" width="17.88671875" style="38" customWidth="1"/>
    <col min="1344" max="1347" width="1" style="38" customWidth="1"/>
    <col min="1348" max="1348" width="18.6640625" style="38" bestFit="1" customWidth="1"/>
    <col min="1349" max="1352" width="1" style="38" customWidth="1"/>
    <col min="1353" max="1353" width="17.33203125" style="38" customWidth="1"/>
    <col min="1354" max="1354" width="0.6640625" style="38" customWidth="1"/>
    <col min="1355" max="1355" width="1" style="38" customWidth="1"/>
    <col min="1356" max="1410" width="0" style="38" hidden="1" customWidth="1"/>
    <col min="1411" max="1411" width="1" style="38" customWidth="1"/>
    <col min="1412" max="1412" width="1.88671875" style="38" customWidth="1"/>
    <col min="1413" max="1413" width="11.6640625" style="38" bestFit="1" customWidth="1"/>
    <col min="1414" max="1414" width="10" style="38" customWidth="1"/>
    <col min="1415" max="1415" width="10.44140625" style="38" bestFit="1" customWidth="1"/>
    <col min="1416" max="1416" width="10" style="38" customWidth="1"/>
    <col min="1417" max="1418" width="10" style="38"/>
    <col min="1419" max="1419" width="13.44140625" style="38" bestFit="1" customWidth="1"/>
    <col min="1420" max="1531" width="10" style="38"/>
    <col min="1532" max="1534" width="0" style="38" hidden="1" customWidth="1"/>
    <col min="1535" max="1535" width="64.88671875" style="38" customWidth="1"/>
    <col min="1536" max="1536" width="7" style="38" customWidth="1"/>
    <col min="1537" max="1538" width="1" style="38" customWidth="1"/>
    <col min="1539" max="1539" width="15.109375" style="38" customWidth="1"/>
    <col min="1540" max="1541" width="1" style="38" customWidth="1"/>
    <col min="1542" max="1542" width="0.88671875" style="38" customWidth="1"/>
    <col min="1543" max="1543" width="1" style="38" customWidth="1"/>
    <col min="1544" max="1544" width="17.88671875" style="38" customWidth="1"/>
    <col min="1545" max="1548" width="1" style="38" customWidth="1"/>
    <col min="1549" max="1549" width="17.88671875" style="38" customWidth="1"/>
    <col min="1550" max="1553" width="1" style="38" customWidth="1"/>
    <col min="1554" max="1554" width="17.88671875" style="38" customWidth="1"/>
    <col min="1555" max="1558" width="1" style="38" customWidth="1"/>
    <col min="1559" max="1559" width="17.88671875" style="38" customWidth="1"/>
    <col min="1560" max="1563" width="1" style="38" customWidth="1"/>
    <col min="1564" max="1564" width="17.88671875" style="38" customWidth="1"/>
    <col min="1565" max="1568" width="1" style="38" customWidth="1"/>
    <col min="1569" max="1569" width="17.88671875" style="38" customWidth="1"/>
    <col min="1570" max="1571" width="1" style="38" customWidth="1"/>
    <col min="1572" max="1572" width="1.33203125" style="38" customWidth="1"/>
    <col min="1573" max="1573" width="1" style="38" customWidth="1"/>
    <col min="1574" max="1574" width="17.88671875" style="38" customWidth="1"/>
    <col min="1575" max="1578" width="1" style="38" customWidth="1"/>
    <col min="1579" max="1579" width="14.6640625" style="38" customWidth="1"/>
    <col min="1580" max="1583" width="1" style="38" customWidth="1"/>
    <col min="1584" max="1584" width="17.88671875" style="38" customWidth="1"/>
    <col min="1585" max="1588" width="1" style="38" customWidth="1"/>
    <col min="1589" max="1589" width="17.88671875" style="38" customWidth="1"/>
    <col min="1590" max="1593" width="1" style="38" customWidth="1"/>
    <col min="1594" max="1594" width="17.88671875" style="38" customWidth="1"/>
    <col min="1595" max="1598" width="1" style="38" customWidth="1"/>
    <col min="1599" max="1599" width="17.88671875" style="38" customWidth="1"/>
    <col min="1600" max="1603" width="1" style="38" customWidth="1"/>
    <col min="1604" max="1604" width="18.6640625" style="38" bestFit="1" customWidth="1"/>
    <col min="1605" max="1608" width="1" style="38" customWidth="1"/>
    <col min="1609" max="1609" width="17.33203125" style="38" customWidth="1"/>
    <col min="1610" max="1610" width="0.6640625" style="38" customWidth="1"/>
    <col min="1611" max="1611" width="1" style="38" customWidth="1"/>
    <col min="1612" max="1666" width="0" style="38" hidden="1" customWidth="1"/>
    <col min="1667" max="1667" width="1" style="38" customWidth="1"/>
    <col min="1668" max="1668" width="1.88671875" style="38" customWidth="1"/>
    <col min="1669" max="1669" width="11.6640625" style="38" bestFit="1" customWidth="1"/>
    <col min="1670" max="1670" width="10" style="38" customWidth="1"/>
    <col min="1671" max="1671" width="10.44140625" style="38" bestFit="1" customWidth="1"/>
    <col min="1672" max="1672" width="10" style="38" customWidth="1"/>
    <col min="1673" max="1674" width="10" style="38"/>
    <col min="1675" max="1675" width="13.44140625" style="38" bestFit="1" customWidth="1"/>
    <col min="1676" max="1787" width="10" style="38"/>
    <col min="1788" max="1790" width="0" style="38" hidden="1" customWidth="1"/>
    <col min="1791" max="1791" width="64.88671875" style="38" customWidth="1"/>
    <col min="1792" max="1792" width="7" style="38" customWidth="1"/>
    <col min="1793" max="1794" width="1" style="38" customWidth="1"/>
    <col min="1795" max="1795" width="15.109375" style="38" customWidth="1"/>
    <col min="1796" max="1797" width="1" style="38" customWidth="1"/>
    <col min="1798" max="1798" width="0.88671875" style="38" customWidth="1"/>
    <col min="1799" max="1799" width="1" style="38" customWidth="1"/>
    <col min="1800" max="1800" width="17.88671875" style="38" customWidth="1"/>
    <col min="1801" max="1804" width="1" style="38" customWidth="1"/>
    <col min="1805" max="1805" width="17.88671875" style="38" customWidth="1"/>
    <col min="1806" max="1809" width="1" style="38" customWidth="1"/>
    <col min="1810" max="1810" width="17.88671875" style="38" customWidth="1"/>
    <col min="1811" max="1814" width="1" style="38" customWidth="1"/>
    <col min="1815" max="1815" width="17.88671875" style="38" customWidth="1"/>
    <col min="1816" max="1819" width="1" style="38" customWidth="1"/>
    <col min="1820" max="1820" width="17.88671875" style="38" customWidth="1"/>
    <col min="1821" max="1824" width="1" style="38" customWidth="1"/>
    <col min="1825" max="1825" width="17.88671875" style="38" customWidth="1"/>
    <col min="1826" max="1827" width="1" style="38" customWidth="1"/>
    <col min="1828" max="1828" width="1.33203125" style="38" customWidth="1"/>
    <col min="1829" max="1829" width="1" style="38" customWidth="1"/>
    <col min="1830" max="1830" width="17.88671875" style="38" customWidth="1"/>
    <col min="1831" max="1834" width="1" style="38" customWidth="1"/>
    <col min="1835" max="1835" width="14.6640625" style="38" customWidth="1"/>
    <col min="1836" max="1839" width="1" style="38" customWidth="1"/>
    <col min="1840" max="1840" width="17.88671875" style="38" customWidth="1"/>
    <col min="1841" max="1844" width="1" style="38" customWidth="1"/>
    <col min="1845" max="1845" width="17.88671875" style="38" customWidth="1"/>
    <col min="1846" max="1849" width="1" style="38" customWidth="1"/>
    <col min="1850" max="1850" width="17.88671875" style="38" customWidth="1"/>
    <col min="1851" max="1854" width="1" style="38" customWidth="1"/>
    <col min="1855" max="1855" width="17.88671875" style="38" customWidth="1"/>
    <col min="1856" max="1859" width="1" style="38" customWidth="1"/>
    <col min="1860" max="1860" width="18.6640625" style="38" bestFit="1" customWidth="1"/>
    <col min="1861" max="1864" width="1" style="38" customWidth="1"/>
    <col min="1865" max="1865" width="17.33203125" style="38" customWidth="1"/>
    <col min="1866" max="1866" width="0.6640625" style="38" customWidth="1"/>
    <col min="1867" max="1867" width="1" style="38" customWidth="1"/>
    <col min="1868" max="1922" width="0" style="38" hidden="1" customWidth="1"/>
    <col min="1923" max="1923" width="1" style="38" customWidth="1"/>
    <col min="1924" max="1924" width="1.88671875" style="38" customWidth="1"/>
    <col min="1925" max="1925" width="11.6640625" style="38" bestFit="1" customWidth="1"/>
    <col min="1926" max="1926" width="10" style="38" customWidth="1"/>
    <col min="1927" max="1927" width="10.44140625" style="38" bestFit="1" customWidth="1"/>
    <col min="1928" max="1928" width="10" style="38" customWidth="1"/>
    <col min="1929" max="1930" width="10" style="38"/>
    <col min="1931" max="1931" width="13.44140625" style="38" bestFit="1" customWidth="1"/>
    <col min="1932" max="2043" width="10" style="38"/>
    <col min="2044" max="2046" width="0" style="38" hidden="1" customWidth="1"/>
    <col min="2047" max="2047" width="64.88671875" style="38" customWidth="1"/>
    <col min="2048" max="2048" width="7" style="38" customWidth="1"/>
    <col min="2049" max="2050" width="1" style="38" customWidth="1"/>
    <col min="2051" max="2051" width="15.109375" style="38" customWidth="1"/>
    <col min="2052" max="2053" width="1" style="38" customWidth="1"/>
    <col min="2054" max="2054" width="0.88671875" style="38" customWidth="1"/>
    <col min="2055" max="2055" width="1" style="38" customWidth="1"/>
    <col min="2056" max="2056" width="17.88671875" style="38" customWidth="1"/>
    <col min="2057" max="2060" width="1" style="38" customWidth="1"/>
    <col min="2061" max="2061" width="17.88671875" style="38" customWidth="1"/>
    <col min="2062" max="2065" width="1" style="38" customWidth="1"/>
    <col min="2066" max="2066" width="17.88671875" style="38" customWidth="1"/>
    <col min="2067" max="2070" width="1" style="38" customWidth="1"/>
    <col min="2071" max="2071" width="17.88671875" style="38" customWidth="1"/>
    <col min="2072" max="2075" width="1" style="38" customWidth="1"/>
    <col min="2076" max="2076" width="17.88671875" style="38" customWidth="1"/>
    <col min="2077" max="2080" width="1" style="38" customWidth="1"/>
    <col min="2081" max="2081" width="17.88671875" style="38" customWidth="1"/>
    <col min="2082" max="2083" width="1" style="38" customWidth="1"/>
    <col min="2084" max="2084" width="1.33203125" style="38" customWidth="1"/>
    <col min="2085" max="2085" width="1" style="38" customWidth="1"/>
    <col min="2086" max="2086" width="17.88671875" style="38" customWidth="1"/>
    <col min="2087" max="2090" width="1" style="38" customWidth="1"/>
    <col min="2091" max="2091" width="14.6640625" style="38" customWidth="1"/>
    <col min="2092" max="2095" width="1" style="38" customWidth="1"/>
    <col min="2096" max="2096" width="17.88671875" style="38" customWidth="1"/>
    <col min="2097" max="2100" width="1" style="38" customWidth="1"/>
    <col min="2101" max="2101" width="17.88671875" style="38" customWidth="1"/>
    <col min="2102" max="2105" width="1" style="38" customWidth="1"/>
    <col min="2106" max="2106" width="17.88671875" style="38" customWidth="1"/>
    <col min="2107" max="2110" width="1" style="38" customWidth="1"/>
    <col min="2111" max="2111" width="17.88671875" style="38" customWidth="1"/>
    <col min="2112" max="2115" width="1" style="38" customWidth="1"/>
    <col min="2116" max="2116" width="18.6640625" style="38" bestFit="1" customWidth="1"/>
    <col min="2117" max="2120" width="1" style="38" customWidth="1"/>
    <col min="2121" max="2121" width="17.33203125" style="38" customWidth="1"/>
    <col min="2122" max="2122" width="0.6640625" style="38" customWidth="1"/>
    <col min="2123" max="2123" width="1" style="38" customWidth="1"/>
    <col min="2124" max="2178" width="0" style="38" hidden="1" customWidth="1"/>
    <col min="2179" max="2179" width="1" style="38" customWidth="1"/>
    <col min="2180" max="2180" width="1.88671875" style="38" customWidth="1"/>
    <col min="2181" max="2181" width="11.6640625" style="38" bestFit="1" customWidth="1"/>
    <col min="2182" max="2182" width="10" style="38" customWidth="1"/>
    <col min="2183" max="2183" width="10.44140625" style="38" bestFit="1" customWidth="1"/>
    <col min="2184" max="2184" width="10" style="38" customWidth="1"/>
    <col min="2185" max="2186" width="10" style="38"/>
    <col min="2187" max="2187" width="13.44140625" style="38" bestFit="1" customWidth="1"/>
    <col min="2188" max="2299" width="10" style="38"/>
    <col min="2300" max="2302" width="0" style="38" hidden="1" customWidth="1"/>
    <col min="2303" max="2303" width="64.88671875" style="38" customWidth="1"/>
    <col min="2304" max="2304" width="7" style="38" customWidth="1"/>
    <col min="2305" max="2306" width="1" style="38" customWidth="1"/>
    <col min="2307" max="2307" width="15.109375" style="38" customWidth="1"/>
    <col min="2308" max="2309" width="1" style="38" customWidth="1"/>
    <col min="2310" max="2310" width="0.88671875" style="38" customWidth="1"/>
    <col min="2311" max="2311" width="1" style="38" customWidth="1"/>
    <col min="2312" max="2312" width="17.88671875" style="38" customWidth="1"/>
    <col min="2313" max="2316" width="1" style="38" customWidth="1"/>
    <col min="2317" max="2317" width="17.88671875" style="38" customWidth="1"/>
    <col min="2318" max="2321" width="1" style="38" customWidth="1"/>
    <col min="2322" max="2322" width="17.88671875" style="38" customWidth="1"/>
    <col min="2323" max="2326" width="1" style="38" customWidth="1"/>
    <col min="2327" max="2327" width="17.88671875" style="38" customWidth="1"/>
    <col min="2328" max="2331" width="1" style="38" customWidth="1"/>
    <col min="2332" max="2332" width="17.88671875" style="38" customWidth="1"/>
    <col min="2333" max="2336" width="1" style="38" customWidth="1"/>
    <col min="2337" max="2337" width="17.88671875" style="38" customWidth="1"/>
    <col min="2338" max="2339" width="1" style="38" customWidth="1"/>
    <col min="2340" max="2340" width="1.33203125" style="38" customWidth="1"/>
    <col min="2341" max="2341" width="1" style="38" customWidth="1"/>
    <col min="2342" max="2342" width="17.88671875" style="38" customWidth="1"/>
    <col min="2343" max="2346" width="1" style="38" customWidth="1"/>
    <col min="2347" max="2347" width="14.6640625" style="38" customWidth="1"/>
    <col min="2348" max="2351" width="1" style="38" customWidth="1"/>
    <col min="2352" max="2352" width="17.88671875" style="38" customWidth="1"/>
    <col min="2353" max="2356" width="1" style="38" customWidth="1"/>
    <col min="2357" max="2357" width="17.88671875" style="38" customWidth="1"/>
    <col min="2358" max="2361" width="1" style="38" customWidth="1"/>
    <col min="2362" max="2362" width="17.88671875" style="38" customWidth="1"/>
    <col min="2363" max="2366" width="1" style="38" customWidth="1"/>
    <col min="2367" max="2367" width="17.88671875" style="38" customWidth="1"/>
    <col min="2368" max="2371" width="1" style="38" customWidth="1"/>
    <col min="2372" max="2372" width="18.6640625" style="38" bestFit="1" customWidth="1"/>
    <col min="2373" max="2376" width="1" style="38" customWidth="1"/>
    <col min="2377" max="2377" width="17.33203125" style="38" customWidth="1"/>
    <col min="2378" max="2378" width="0.6640625" style="38" customWidth="1"/>
    <col min="2379" max="2379" width="1" style="38" customWidth="1"/>
    <col min="2380" max="2434" width="0" style="38" hidden="1" customWidth="1"/>
    <col min="2435" max="2435" width="1" style="38" customWidth="1"/>
    <col min="2436" max="2436" width="1.88671875" style="38" customWidth="1"/>
    <col min="2437" max="2437" width="11.6640625" style="38" bestFit="1" customWidth="1"/>
    <col min="2438" max="2438" width="10" style="38" customWidth="1"/>
    <col min="2439" max="2439" width="10.44140625" style="38" bestFit="1" customWidth="1"/>
    <col min="2440" max="2440" width="10" style="38" customWidth="1"/>
    <col min="2441" max="2442" width="10" style="38"/>
    <col min="2443" max="2443" width="13.44140625" style="38" bestFit="1" customWidth="1"/>
    <col min="2444" max="2555" width="10" style="38"/>
    <col min="2556" max="2558" width="0" style="38" hidden="1" customWidth="1"/>
    <col min="2559" max="2559" width="64.88671875" style="38" customWidth="1"/>
    <col min="2560" max="2560" width="7" style="38" customWidth="1"/>
    <col min="2561" max="2562" width="1" style="38" customWidth="1"/>
    <col min="2563" max="2563" width="15.109375" style="38" customWidth="1"/>
    <col min="2564" max="2565" width="1" style="38" customWidth="1"/>
    <col min="2566" max="2566" width="0.88671875" style="38" customWidth="1"/>
    <col min="2567" max="2567" width="1" style="38" customWidth="1"/>
    <col min="2568" max="2568" width="17.88671875" style="38" customWidth="1"/>
    <col min="2569" max="2572" width="1" style="38" customWidth="1"/>
    <col min="2573" max="2573" width="17.88671875" style="38" customWidth="1"/>
    <col min="2574" max="2577" width="1" style="38" customWidth="1"/>
    <col min="2578" max="2578" width="17.88671875" style="38" customWidth="1"/>
    <col min="2579" max="2582" width="1" style="38" customWidth="1"/>
    <col min="2583" max="2583" width="17.88671875" style="38" customWidth="1"/>
    <col min="2584" max="2587" width="1" style="38" customWidth="1"/>
    <col min="2588" max="2588" width="17.88671875" style="38" customWidth="1"/>
    <col min="2589" max="2592" width="1" style="38" customWidth="1"/>
    <col min="2593" max="2593" width="17.88671875" style="38" customWidth="1"/>
    <col min="2594" max="2595" width="1" style="38" customWidth="1"/>
    <col min="2596" max="2596" width="1.33203125" style="38" customWidth="1"/>
    <col min="2597" max="2597" width="1" style="38" customWidth="1"/>
    <col min="2598" max="2598" width="17.88671875" style="38" customWidth="1"/>
    <col min="2599" max="2602" width="1" style="38" customWidth="1"/>
    <col min="2603" max="2603" width="14.6640625" style="38" customWidth="1"/>
    <col min="2604" max="2607" width="1" style="38" customWidth="1"/>
    <col min="2608" max="2608" width="17.88671875" style="38" customWidth="1"/>
    <col min="2609" max="2612" width="1" style="38" customWidth="1"/>
    <col min="2613" max="2613" width="17.88671875" style="38" customWidth="1"/>
    <col min="2614" max="2617" width="1" style="38" customWidth="1"/>
    <col min="2618" max="2618" width="17.88671875" style="38" customWidth="1"/>
    <col min="2619" max="2622" width="1" style="38" customWidth="1"/>
    <col min="2623" max="2623" width="17.88671875" style="38" customWidth="1"/>
    <col min="2624" max="2627" width="1" style="38" customWidth="1"/>
    <col min="2628" max="2628" width="18.6640625" style="38" bestFit="1" customWidth="1"/>
    <col min="2629" max="2632" width="1" style="38" customWidth="1"/>
    <col min="2633" max="2633" width="17.33203125" style="38" customWidth="1"/>
    <col min="2634" max="2634" width="0.6640625" style="38" customWidth="1"/>
    <col min="2635" max="2635" width="1" style="38" customWidth="1"/>
    <col min="2636" max="2690" width="0" style="38" hidden="1" customWidth="1"/>
    <col min="2691" max="2691" width="1" style="38" customWidth="1"/>
    <col min="2692" max="2692" width="1.88671875" style="38" customWidth="1"/>
    <col min="2693" max="2693" width="11.6640625" style="38" bestFit="1" customWidth="1"/>
    <col min="2694" max="2694" width="10" style="38" customWidth="1"/>
    <col min="2695" max="2695" width="10.44140625" style="38" bestFit="1" customWidth="1"/>
    <col min="2696" max="2696" width="10" style="38" customWidth="1"/>
    <col min="2697" max="2698" width="10" style="38"/>
    <col min="2699" max="2699" width="13.44140625" style="38" bestFit="1" customWidth="1"/>
    <col min="2700" max="2811" width="10" style="38"/>
    <col min="2812" max="2814" width="0" style="38" hidden="1" customWidth="1"/>
    <col min="2815" max="2815" width="64.88671875" style="38" customWidth="1"/>
    <col min="2816" max="2816" width="7" style="38" customWidth="1"/>
    <col min="2817" max="2818" width="1" style="38" customWidth="1"/>
    <col min="2819" max="2819" width="15.109375" style="38" customWidth="1"/>
    <col min="2820" max="2821" width="1" style="38" customWidth="1"/>
    <col min="2822" max="2822" width="0.88671875" style="38" customWidth="1"/>
    <col min="2823" max="2823" width="1" style="38" customWidth="1"/>
    <col min="2824" max="2824" width="17.88671875" style="38" customWidth="1"/>
    <col min="2825" max="2828" width="1" style="38" customWidth="1"/>
    <col min="2829" max="2829" width="17.88671875" style="38" customWidth="1"/>
    <col min="2830" max="2833" width="1" style="38" customWidth="1"/>
    <col min="2834" max="2834" width="17.88671875" style="38" customWidth="1"/>
    <col min="2835" max="2838" width="1" style="38" customWidth="1"/>
    <col min="2839" max="2839" width="17.88671875" style="38" customWidth="1"/>
    <col min="2840" max="2843" width="1" style="38" customWidth="1"/>
    <col min="2844" max="2844" width="17.88671875" style="38" customWidth="1"/>
    <col min="2845" max="2848" width="1" style="38" customWidth="1"/>
    <col min="2849" max="2849" width="17.88671875" style="38" customWidth="1"/>
    <col min="2850" max="2851" width="1" style="38" customWidth="1"/>
    <col min="2852" max="2852" width="1.33203125" style="38" customWidth="1"/>
    <col min="2853" max="2853" width="1" style="38" customWidth="1"/>
    <col min="2854" max="2854" width="17.88671875" style="38" customWidth="1"/>
    <col min="2855" max="2858" width="1" style="38" customWidth="1"/>
    <col min="2859" max="2859" width="14.6640625" style="38" customWidth="1"/>
    <col min="2860" max="2863" width="1" style="38" customWidth="1"/>
    <col min="2864" max="2864" width="17.88671875" style="38" customWidth="1"/>
    <col min="2865" max="2868" width="1" style="38" customWidth="1"/>
    <col min="2869" max="2869" width="17.88671875" style="38" customWidth="1"/>
    <col min="2870" max="2873" width="1" style="38" customWidth="1"/>
    <col min="2874" max="2874" width="17.88671875" style="38" customWidth="1"/>
    <col min="2875" max="2878" width="1" style="38" customWidth="1"/>
    <col min="2879" max="2879" width="17.88671875" style="38" customWidth="1"/>
    <col min="2880" max="2883" width="1" style="38" customWidth="1"/>
    <col min="2884" max="2884" width="18.6640625" style="38" bestFit="1" customWidth="1"/>
    <col min="2885" max="2888" width="1" style="38" customWidth="1"/>
    <col min="2889" max="2889" width="17.33203125" style="38" customWidth="1"/>
    <col min="2890" max="2890" width="0.6640625" style="38" customWidth="1"/>
    <col min="2891" max="2891" width="1" style="38" customWidth="1"/>
    <col min="2892" max="2946" width="0" style="38" hidden="1" customWidth="1"/>
    <col min="2947" max="2947" width="1" style="38" customWidth="1"/>
    <col min="2948" max="2948" width="1.88671875" style="38" customWidth="1"/>
    <col min="2949" max="2949" width="11.6640625" style="38" bestFit="1" customWidth="1"/>
    <col min="2950" max="2950" width="10" style="38" customWidth="1"/>
    <col min="2951" max="2951" width="10.44140625" style="38" bestFit="1" customWidth="1"/>
    <col min="2952" max="2952" width="10" style="38" customWidth="1"/>
    <col min="2953" max="2954" width="10" style="38"/>
    <col min="2955" max="2955" width="13.44140625" style="38" bestFit="1" customWidth="1"/>
    <col min="2956" max="3067" width="10" style="38"/>
    <col min="3068" max="3070" width="0" style="38" hidden="1" customWidth="1"/>
    <col min="3071" max="3071" width="64.88671875" style="38" customWidth="1"/>
    <col min="3072" max="3072" width="7" style="38" customWidth="1"/>
    <col min="3073" max="3074" width="1" style="38" customWidth="1"/>
    <col min="3075" max="3075" width="15.109375" style="38" customWidth="1"/>
    <col min="3076" max="3077" width="1" style="38" customWidth="1"/>
    <col min="3078" max="3078" width="0.88671875" style="38" customWidth="1"/>
    <col min="3079" max="3079" width="1" style="38" customWidth="1"/>
    <col min="3080" max="3080" width="17.88671875" style="38" customWidth="1"/>
    <col min="3081" max="3084" width="1" style="38" customWidth="1"/>
    <col min="3085" max="3085" width="17.88671875" style="38" customWidth="1"/>
    <col min="3086" max="3089" width="1" style="38" customWidth="1"/>
    <col min="3090" max="3090" width="17.88671875" style="38" customWidth="1"/>
    <col min="3091" max="3094" width="1" style="38" customWidth="1"/>
    <col min="3095" max="3095" width="17.88671875" style="38" customWidth="1"/>
    <col min="3096" max="3099" width="1" style="38" customWidth="1"/>
    <col min="3100" max="3100" width="17.88671875" style="38" customWidth="1"/>
    <col min="3101" max="3104" width="1" style="38" customWidth="1"/>
    <col min="3105" max="3105" width="17.88671875" style="38" customWidth="1"/>
    <col min="3106" max="3107" width="1" style="38" customWidth="1"/>
    <col min="3108" max="3108" width="1.33203125" style="38" customWidth="1"/>
    <col min="3109" max="3109" width="1" style="38" customWidth="1"/>
    <col min="3110" max="3110" width="17.88671875" style="38" customWidth="1"/>
    <col min="3111" max="3114" width="1" style="38" customWidth="1"/>
    <col min="3115" max="3115" width="14.6640625" style="38" customWidth="1"/>
    <col min="3116" max="3119" width="1" style="38" customWidth="1"/>
    <col min="3120" max="3120" width="17.88671875" style="38" customWidth="1"/>
    <col min="3121" max="3124" width="1" style="38" customWidth="1"/>
    <col min="3125" max="3125" width="17.88671875" style="38" customWidth="1"/>
    <col min="3126" max="3129" width="1" style="38" customWidth="1"/>
    <col min="3130" max="3130" width="17.88671875" style="38" customWidth="1"/>
    <col min="3131" max="3134" width="1" style="38" customWidth="1"/>
    <col min="3135" max="3135" width="17.88671875" style="38" customWidth="1"/>
    <col min="3136" max="3139" width="1" style="38" customWidth="1"/>
    <col min="3140" max="3140" width="18.6640625" style="38" bestFit="1" customWidth="1"/>
    <col min="3141" max="3144" width="1" style="38" customWidth="1"/>
    <col min="3145" max="3145" width="17.33203125" style="38" customWidth="1"/>
    <col min="3146" max="3146" width="0.6640625" style="38" customWidth="1"/>
    <col min="3147" max="3147" width="1" style="38" customWidth="1"/>
    <col min="3148" max="3202" width="0" style="38" hidden="1" customWidth="1"/>
    <col min="3203" max="3203" width="1" style="38" customWidth="1"/>
    <col min="3204" max="3204" width="1.88671875" style="38" customWidth="1"/>
    <col min="3205" max="3205" width="11.6640625" style="38" bestFit="1" customWidth="1"/>
    <col min="3206" max="3206" width="10" style="38" customWidth="1"/>
    <col min="3207" max="3207" width="10.44140625" style="38" bestFit="1" customWidth="1"/>
    <col min="3208" max="3208" width="10" style="38" customWidth="1"/>
    <col min="3209" max="3210" width="10" style="38"/>
    <col min="3211" max="3211" width="13.44140625" style="38" bestFit="1" customWidth="1"/>
    <col min="3212" max="3323" width="10" style="38"/>
    <col min="3324" max="3326" width="0" style="38" hidden="1" customWidth="1"/>
    <col min="3327" max="3327" width="64.88671875" style="38" customWidth="1"/>
    <col min="3328" max="3328" width="7" style="38" customWidth="1"/>
    <col min="3329" max="3330" width="1" style="38" customWidth="1"/>
    <col min="3331" max="3331" width="15.109375" style="38" customWidth="1"/>
    <col min="3332" max="3333" width="1" style="38" customWidth="1"/>
    <col min="3334" max="3334" width="0.88671875" style="38" customWidth="1"/>
    <col min="3335" max="3335" width="1" style="38" customWidth="1"/>
    <col min="3336" max="3336" width="17.88671875" style="38" customWidth="1"/>
    <col min="3337" max="3340" width="1" style="38" customWidth="1"/>
    <col min="3341" max="3341" width="17.88671875" style="38" customWidth="1"/>
    <col min="3342" max="3345" width="1" style="38" customWidth="1"/>
    <col min="3346" max="3346" width="17.88671875" style="38" customWidth="1"/>
    <col min="3347" max="3350" width="1" style="38" customWidth="1"/>
    <col min="3351" max="3351" width="17.88671875" style="38" customWidth="1"/>
    <col min="3352" max="3355" width="1" style="38" customWidth="1"/>
    <col min="3356" max="3356" width="17.88671875" style="38" customWidth="1"/>
    <col min="3357" max="3360" width="1" style="38" customWidth="1"/>
    <col min="3361" max="3361" width="17.88671875" style="38" customWidth="1"/>
    <col min="3362" max="3363" width="1" style="38" customWidth="1"/>
    <col min="3364" max="3364" width="1.33203125" style="38" customWidth="1"/>
    <col min="3365" max="3365" width="1" style="38" customWidth="1"/>
    <col min="3366" max="3366" width="17.88671875" style="38" customWidth="1"/>
    <col min="3367" max="3370" width="1" style="38" customWidth="1"/>
    <col min="3371" max="3371" width="14.6640625" style="38" customWidth="1"/>
    <col min="3372" max="3375" width="1" style="38" customWidth="1"/>
    <col min="3376" max="3376" width="17.88671875" style="38" customWidth="1"/>
    <col min="3377" max="3380" width="1" style="38" customWidth="1"/>
    <col min="3381" max="3381" width="17.88671875" style="38" customWidth="1"/>
    <col min="3382" max="3385" width="1" style="38" customWidth="1"/>
    <col min="3386" max="3386" width="17.88671875" style="38" customWidth="1"/>
    <col min="3387" max="3390" width="1" style="38" customWidth="1"/>
    <col min="3391" max="3391" width="17.88671875" style="38" customWidth="1"/>
    <col min="3392" max="3395" width="1" style="38" customWidth="1"/>
    <col min="3396" max="3396" width="18.6640625" style="38" bestFit="1" customWidth="1"/>
    <col min="3397" max="3400" width="1" style="38" customWidth="1"/>
    <col min="3401" max="3401" width="17.33203125" style="38" customWidth="1"/>
    <col min="3402" max="3402" width="0.6640625" style="38" customWidth="1"/>
    <col min="3403" max="3403" width="1" style="38" customWidth="1"/>
    <col min="3404" max="3458" width="0" style="38" hidden="1" customWidth="1"/>
    <col min="3459" max="3459" width="1" style="38" customWidth="1"/>
    <col min="3460" max="3460" width="1.88671875" style="38" customWidth="1"/>
    <col min="3461" max="3461" width="11.6640625" style="38" bestFit="1" customWidth="1"/>
    <col min="3462" max="3462" width="10" style="38" customWidth="1"/>
    <col min="3463" max="3463" width="10.44140625" style="38" bestFit="1" customWidth="1"/>
    <col min="3464" max="3464" width="10" style="38" customWidth="1"/>
    <col min="3465" max="3466" width="10" style="38"/>
    <col min="3467" max="3467" width="13.44140625" style="38" bestFit="1" customWidth="1"/>
    <col min="3468" max="3579" width="10" style="38"/>
    <col min="3580" max="3582" width="0" style="38" hidden="1" customWidth="1"/>
    <col min="3583" max="3583" width="64.88671875" style="38" customWidth="1"/>
    <col min="3584" max="3584" width="7" style="38" customWidth="1"/>
    <col min="3585" max="3586" width="1" style="38" customWidth="1"/>
    <col min="3587" max="3587" width="15.109375" style="38" customWidth="1"/>
    <col min="3588" max="3589" width="1" style="38" customWidth="1"/>
    <col min="3590" max="3590" width="0.88671875" style="38" customWidth="1"/>
    <col min="3591" max="3591" width="1" style="38" customWidth="1"/>
    <col min="3592" max="3592" width="17.88671875" style="38" customWidth="1"/>
    <col min="3593" max="3596" width="1" style="38" customWidth="1"/>
    <col min="3597" max="3597" width="17.88671875" style="38" customWidth="1"/>
    <col min="3598" max="3601" width="1" style="38" customWidth="1"/>
    <col min="3602" max="3602" width="17.88671875" style="38" customWidth="1"/>
    <col min="3603" max="3606" width="1" style="38" customWidth="1"/>
    <col min="3607" max="3607" width="17.88671875" style="38" customWidth="1"/>
    <col min="3608" max="3611" width="1" style="38" customWidth="1"/>
    <col min="3612" max="3612" width="17.88671875" style="38" customWidth="1"/>
    <col min="3613" max="3616" width="1" style="38" customWidth="1"/>
    <col min="3617" max="3617" width="17.88671875" style="38" customWidth="1"/>
    <col min="3618" max="3619" width="1" style="38" customWidth="1"/>
    <col min="3620" max="3620" width="1.33203125" style="38" customWidth="1"/>
    <col min="3621" max="3621" width="1" style="38" customWidth="1"/>
    <col min="3622" max="3622" width="17.88671875" style="38" customWidth="1"/>
    <col min="3623" max="3626" width="1" style="38" customWidth="1"/>
    <col min="3627" max="3627" width="14.6640625" style="38" customWidth="1"/>
    <col min="3628" max="3631" width="1" style="38" customWidth="1"/>
    <col min="3632" max="3632" width="17.88671875" style="38" customWidth="1"/>
    <col min="3633" max="3636" width="1" style="38" customWidth="1"/>
    <col min="3637" max="3637" width="17.88671875" style="38" customWidth="1"/>
    <col min="3638" max="3641" width="1" style="38" customWidth="1"/>
    <col min="3642" max="3642" width="17.88671875" style="38" customWidth="1"/>
    <col min="3643" max="3646" width="1" style="38" customWidth="1"/>
    <col min="3647" max="3647" width="17.88671875" style="38" customWidth="1"/>
    <col min="3648" max="3651" width="1" style="38" customWidth="1"/>
    <col min="3652" max="3652" width="18.6640625" style="38" bestFit="1" customWidth="1"/>
    <col min="3653" max="3656" width="1" style="38" customWidth="1"/>
    <col min="3657" max="3657" width="17.33203125" style="38" customWidth="1"/>
    <col min="3658" max="3658" width="0.6640625" style="38" customWidth="1"/>
    <col min="3659" max="3659" width="1" style="38" customWidth="1"/>
    <col min="3660" max="3714" width="0" style="38" hidden="1" customWidth="1"/>
    <col min="3715" max="3715" width="1" style="38" customWidth="1"/>
    <col min="3716" max="3716" width="1.88671875" style="38" customWidth="1"/>
    <col min="3717" max="3717" width="11.6640625" style="38" bestFit="1" customWidth="1"/>
    <col min="3718" max="3718" width="10" style="38" customWidth="1"/>
    <col min="3719" max="3719" width="10.44140625" style="38" bestFit="1" customWidth="1"/>
    <col min="3720" max="3720" width="10" style="38" customWidth="1"/>
    <col min="3721" max="3722" width="10" style="38"/>
    <col min="3723" max="3723" width="13.44140625" style="38" bestFit="1" customWidth="1"/>
    <col min="3724" max="3835" width="10" style="38"/>
    <col min="3836" max="3838" width="0" style="38" hidden="1" customWidth="1"/>
    <col min="3839" max="3839" width="64.88671875" style="38" customWidth="1"/>
    <col min="3840" max="3840" width="7" style="38" customWidth="1"/>
    <col min="3841" max="3842" width="1" style="38" customWidth="1"/>
    <col min="3843" max="3843" width="15.109375" style="38" customWidth="1"/>
    <col min="3844" max="3845" width="1" style="38" customWidth="1"/>
    <col min="3846" max="3846" width="0.88671875" style="38" customWidth="1"/>
    <col min="3847" max="3847" width="1" style="38" customWidth="1"/>
    <col min="3848" max="3848" width="17.88671875" style="38" customWidth="1"/>
    <col min="3849" max="3852" width="1" style="38" customWidth="1"/>
    <col min="3853" max="3853" width="17.88671875" style="38" customWidth="1"/>
    <col min="3854" max="3857" width="1" style="38" customWidth="1"/>
    <col min="3858" max="3858" width="17.88671875" style="38" customWidth="1"/>
    <col min="3859" max="3862" width="1" style="38" customWidth="1"/>
    <col min="3863" max="3863" width="17.88671875" style="38" customWidth="1"/>
    <col min="3864" max="3867" width="1" style="38" customWidth="1"/>
    <col min="3868" max="3868" width="17.88671875" style="38" customWidth="1"/>
    <col min="3869" max="3872" width="1" style="38" customWidth="1"/>
    <col min="3873" max="3873" width="17.88671875" style="38" customWidth="1"/>
    <col min="3874" max="3875" width="1" style="38" customWidth="1"/>
    <col min="3876" max="3876" width="1.33203125" style="38" customWidth="1"/>
    <col min="3877" max="3877" width="1" style="38" customWidth="1"/>
    <col min="3878" max="3878" width="17.88671875" style="38" customWidth="1"/>
    <col min="3879" max="3882" width="1" style="38" customWidth="1"/>
    <col min="3883" max="3883" width="14.6640625" style="38" customWidth="1"/>
    <col min="3884" max="3887" width="1" style="38" customWidth="1"/>
    <col min="3888" max="3888" width="17.88671875" style="38" customWidth="1"/>
    <col min="3889" max="3892" width="1" style="38" customWidth="1"/>
    <col min="3893" max="3893" width="17.88671875" style="38" customWidth="1"/>
    <col min="3894" max="3897" width="1" style="38" customWidth="1"/>
    <col min="3898" max="3898" width="17.88671875" style="38" customWidth="1"/>
    <col min="3899" max="3902" width="1" style="38" customWidth="1"/>
    <col min="3903" max="3903" width="17.88671875" style="38" customWidth="1"/>
    <col min="3904" max="3907" width="1" style="38" customWidth="1"/>
    <col min="3908" max="3908" width="18.6640625" style="38" bestFit="1" customWidth="1"/>
    <col min="3909" max="3912" width="1" style="38" customWidth="1"/>
    <col min="3913" max="3913" width="17.33203125" style="38" customWidth="1"/>
    <col min="3914" max="3914" width="0.6640625" style="38" customWidth="1"/>
    <col min="3915" max="3915" width="1" style="38" customWidth="1"/>
    <col min="3916" max="3970" width="0" style="38" hidden="1" customWidth="1"/>
    <col min="3971" max="3971" width="1" style="38" customWidth="1"/>
    <col min="3972" max="3972" width="1.88671875" style="38" customWidth="1"/>
    <col min="3973" max="3973" width="11.6640625" style="38" bestFit="1" customWidth="1"/>
    <col min="3974" max="3974" width="10" style="38" customWidth="1"/>
    <col min="3975" max="3975" width="10.44140625" style="38" bestFit="1" customWidth="1"/>
    <col min="3976" max="3976" width="10" style="38" customWidth="1"/>
    <col min="3977" max="3978" width="10" style="38"/>
    <col min="3979" max="3979" width="13.44140625" style="38" bestFit="1" customWidth="1"/>
    <col min="3980" max="4091" width="10" style="38"/>
    <col min="4092" max="4094" width="0" style="38" hidden="1" customWidth="1"/>
    <col min="4095" max="4095" width="64.88671875" style="38" customWidth="1"/>
    <col min="4096" max="4096" width="7" style="38" customWidth="1"/>
    <col min="4097" max="4098" width="1" style="38" customWidth="1"/>
    <col min="4099" max="4099" width="15.109375" style="38" customWidth="1"/>
    <col min="4100" max="4101" width="1" style="38" customWidth="1"/>
    <col min="4102" max="4102" width="0.88671875" style="38" customWidth="1"/>
    <col min="4103" max="4103" width="1" style="38" customWidth="1"/>
    <col min="4104" max="4104" width="17.88671875" style="38" customWidth="1"/>
    <col min="4105" max="4108" width="1" style="38" customWidth="1"/>
    <col min="4109" max="4109" width="17.88671875" style="38" customWidth="1"/>
    <col min="4110" max="4113" width="1" style="38" customWidth="1"/>
    <col min="4114" max="4114" width="17.88671875" style="38" customWidth="1"/>
    <col min="4115" max="4118" width="1" style="38" customWidth="1"/>
    <col min="4119" max="4119" width="17.88671875" style="38" customWidth="1"/>
    <col min="4120" max="4123" width="1" style="38" customWidth="1"/>
    <col min="4124" max="4124" width="17.88671875" style="38" customWidth="1"/>
    <col min="4125" max="4128" width="1" style="38" customWidth="1"/>
    <col min="4129" max="4129" width="17.88671875" style="38" customWidth="1"/>
    <col min="4130" max="4131" width="1" style="38" customWidth="1"/>
    <col min="4132" max="4132" width="1.33203125" style="38" customWidth="1"/>
    <col min="4133" max="4133" width="1" style="38" customWidth="1"/>
    <col min="4134" max="4134" width="17.88671875" style="38" customWidth="1"/>
    <col min="4135" max="4138" width="1" style="38" customWidth="1"/>
    <col min="4139" max="4139" width="14.6640625" style="38" customWidth="1"/>
    <col min="4140" max="4143" width="1" style="38" customWidth="1"/>
    <col min="4144" max="4144" width="17.88671875" style="38" customWidth="1"/>
    <col min="4145" max="4148" width="1" style="38" customWidth="1"/>
    <col min="4149" max="4149" width="17.88671875" style="38" customWidth="1"/>
    <col min="4150" max="4153" width="1" style="38" customWidth="1"/>
    <col min="4154" max="4154" width="17.88671875" style="38" customWidth="1"/>
    <col min="4155" max="4158" width="1" style="38" customWidth="1"/>
    <col min="4159" max="4159" width="17.88671875" style="38" customWidth="1"/>
    <col min="4160" max="4163" width="1" style="38" customWidth="1"/>
    <col min="4164" max="4164" width="18.6640625" style="38" bestFit="1" customWidth="1"/>
    <col min="4165" max="4168" width="1" style="38" customWidth="1"/>
    <col min="4169" max="4169" width="17.33203125" style="38" customWidth="1"/>
    <col min="4170" max="4170" width="0.6640625" style="38" customWidth="1"/>
    <col min="4171" max="4171" width="1" style="38" customWidth="1"/>
    <col min="4172" max="4226" width="0" style="38" hidden="1" customWidth="1"/>
    <col min="4227" max="4227" width="1" style="38" customWidth="1"/>
    <col min="4228" max="4228" width="1.88671875" style="38" customWidth="1"/>
    <col min="4229" max="4229" width="11.6640625" style="38" bestFit="1" customWidth="1"/>
    <col min="4230" max="4230" width="10" style="38" customWidth="1"/>
    <col min="4231" max="4231" width="10.44140625" style="38" bestFit="1" customWidth="1"/>
    <col min="4232" max="4232" width="10" style="38" customWidth="1"/>
    <col min="4233" max="4234" width="10" style="38"/>
    <col min="4235" max="4235" width="13.44140625" style="38" bestFit="1" customWidth="1"/>
    <col min="4236" max="4347" width="10" style="38"/>
    <col min="4348" max="4350" width="0" style="38" hidden="1" customWidth="1"/>
    <col min="4351" max="4351" width="64.88671875" style="38" customWidth="1"/>
    <col min="4352" max="4352" width="7" style="38" customWidth="1"/>
    <col min="4353" max="4354" width="1" style="38" customWidth="1"/>
    <col min="4355" max="4355" width="15.109375" style="38" customWidth="1"/>
    <col min="4356" max="4357" width="1" style="38" customWidth="1"/>
    <col min="4358" max="4358" width="0.88671875" style="38" customWidth="1"/>
    <col min="4359" max="4359" width="1" style="38" customWidth="1"/>
    <col min="4360" max="4360" width="17.88671875" style="38" customWidth="1"/>
    <col min="4361" max="4364" width="1" style="38" customWidth="1"/>
    <col min="4365" max="4365" width="17.88671875" style="38" customWidth="1"/>
    <col min="4366" max="4369" width="1" style="38" customWidth="1"/>
    <col min="4370" max="4370" width="17.88671875" style="38" customWidth="1"/>
    <col min="4371" max="4374" width="1" style="38" customWidth="1"/>
    <col min="4375" max="4375" width="17.88671875" style="38" customWidth="1"/>
    <col min="4376" max="4379" width="1" style="38" customWidth="1"/>
    <col min="4380" max="4380" width="17.88671875" style="38" customWidth="1"/>
    <col min="4381" max="4384" width="1" style="38" customWidth="1"/>
    <col min="4385" max="4385" width="17.88671875" style="38" customWidth="1"/>
    <col min="4386" max="4387" width="1" style="38" customWidth="1"/>
    <col min="4388" max="4388" width="1.33203125" style="38" customWidth="1"/>
    <col min="4389" max="4389" width="1" style="38" customWidth="1"/>
    <col min="4390" max="4390" width="17.88671875" style="38" customWidth="1"/>
    <col min="4391" max="4394" width="1" style="38" customWidth="1"/>
    <col min="4395" max="4395" width="14.6640625" style="38" customWidth="1"/>
    <col min="4396" max="4399" width="1" style="38" customWidth="1"/>
    <col min="4400" max="4400" width="17.88671875" style="38" customWidth="1"/>
    <col min="4401" max="4404" width="1" style="38" customWidth="1"/>
    <col min="4405" max="4405" width="17.88671875" style="38" customWidth="1"/>
    <col min="4406" max="4409" width="1" style="38" customWidth="1"/>
    <col min="4410" max="4410" width="17.88671875" style="38" customWidth="1"/>
    <col min="4411" max="4414" width="1" style="38" customWidth="1"/>
    <col min="4415" max="4415" width="17.88671875" style="38" customWidth="1"/>
    <col min="4416" max="4419" width="1" style="38" customWidth="1"/>
    <col min="4420" max="4420" width="18.6640625" style="38" bestFit="1" customWidth="1"/>
    <col min="4421" max="4424" width="1" style="38" customWidth="1"/>
    <col min="4425" max="4425" width="17.33203125" style="38" customWidth="1"/>
    <col min="4426" max="4426" width="0.6640625" style="38" customWidth="1"/>
    <col min="4427" max="4427" width="1" style="38" customWidth="1"/>
    <col min="4428" max="4482" width="0" style="38" hidden="1" customWidth="1"/>
    <col min="4483" max="4483" width="1" style="38" customWidth="1"/>
    <col min="4484" max="4484" width="1.88671875" style="38" customWidth="1"/>
    <col min="4485" max="4485" width="11.6640625" style="38" bestFit="1" customWidth="1"/>
    <col min="4486" max="4486" width="10" style="38" customWidth="1"/>
    <col min="4487" max="4487" width="10.44140625" style="38" bestFit="1" customWidth="1"/>
    <col min="4488" max="4488" width="10" style="38" customWidth="1"/>
    <col min="4489" max="4490" width="10" style="38"/>
    <col min="4491" max="4491" width="13.44140625" style="38" bestFit="1" customWidth="1"/>
    <col min="4492" max="4603" width="10" style="38"/>
    <col min="4604" max="4606" width="0" style="38" hidden="1" customWidth="1"/>
    <col min="4607" max="4607" width="64.88671875" style="38" customWidth="1"/>
    <col min="4608" max="4608" width="7" style="38" customWidth="1"/>
    <col min="4609" max="4610" width="1" style="38" customWidth="1"/>
    <col min="4611" max="4611" width="15.109375" style="38" customWidth="1"/>
    <col min="4612" max="4613" width="1" style="38" customWidth="1"/>
    <col min="4614" max="4614" width="0.88671875" style="38" customWidth="1"/>
    <col min="4615" max="4615" width="1" style="38" customWidth="1"/>
    <col min="4616" max="4616" width="17.88671875" style="38" customWidth="1"/>
    <col min="4617" max="4620" width="1" style="38" customWidth="1"/>
    <col min="4621" max="4621" width="17.88671875" style="38" customWidth="1"/>
    <col min="4622" max="4625" width="1" style="38" customWidth="1"/>
    <col min="4626" max="4626" width="17.88671875" style="38" customWidth="1"/>
    <col min="4627" max="4630" width="1" style="38" customWidth="1"/>
    <col min="4631" max="4631" width="17.88671875" style="38" customWidth="1"/>
    <col min="4632" max="4635" width="1" style="38" customWidth="1"/>
    <col min="4636" max="4636" width="17.88671875" style="38" customWidth="1"/>
    <col min="4637" max="4640" width="1" style="38" customWidth="1"/>
    <col min="4641" max="4641" width="17.88671875" style="38" customWidth="1"/>
    <col min="4642" max="4643" width="1" style="38" customWidth="1"/>
    <col min="4644" max="4644" width="1.33203125" style="38" customWidth="1"/>
    <col min="4645" max="4645" width="1" style="38" customWidth="1"/>
    <col min="4646" max="4646" width="17.88671875" style="38" customWidth="1"/>
    <col min="4647" max="4650" width="1" style="38" customWidth="1"/>
    <col min="4651" max="4651" width="14.6640625" style="38" customWidth="1"/>
    <col min="4652" max="4655" width="1" style="38" customWidth="1"/>
    <col min="4656" max="4656" width="17.88671875" style="38" customWidth="1"/>
    <col min="4657" max="4660" width="1" style="38" customWidth="1"/>
    <col min="4661" max="4661" width="17.88671875" style="38" customWidth="1"/>
    <col min="4662" max="4665" width="1" style="38" customWidth="1"/>
    <col min="4666" max="4666" width="17.88671875" style="38" customWidth="1"/>
    <col min="4667" max="4670" width="1" style="38" customWidth="1"/>
    <col min="4671" max="4671" width="17.88671875" style="38" customWidth="1"/>
    <col min="4672" max="4675" width="1" style="38" customWidth="1"/>
    <col min="4676" max="4676" width="18.6640625" style="38" bestFit="1" customWidth="1"/>
    <col min="4677" max="4680" width="1" style="38" customWidth="1"/>
    <col min="4681" max="4681" width="17.33203125" style="38" customWidth="1"/>
    <col min="4682" max="4682" width="0.6640625" style="38" customWidth="1"/>
    <col min="4683" max="4683" width="1" style="38" customWidth="1"/>
    <col min="4684" max="4738" width="0" style="38" hidden="1" customWidth="1"/>
    <col min="4739" max="4739" width="1" style="38" customWidth="1"/>
    <col min="4740" max="4740" width="1.88671875" style="38" customWidth="1"/>
    <col min="4741" max="4741" width="11.6640625" style="38" bestFit="1" customWidth="1"/>
    <col min="4742" max="4742" width="10" style="38" customWidth="1"/>
    <col min="4743" max="4743" width="10.44140625" style="38" bestFit="1" customWidth="1"/>
    <col min="4744" max="4744" width="10" style="38" customWidth="1"/>
    <col min="4745" max="4746" width="10" style="38"/>
    <col min="4747" max="4747" width="13.44140625" style="38" bestFit="1" customWidth="1"/>
    <col min="4748" max="4859" width="10" style="38"/>
    <col min="4860" max="4862" width="0" style="38" hidden="1" customWidth="1"/>
    <col min="4863" max="4863" width="64.88671875" style="38" customWidth="1"/>
    <col min="4864" max="4864" width="7" style="38" customWidth="1"/>
    <col min="4865" max="4866" width="1" style="38" customWidth="1"/>
    <col min="4867" max="4867" width="15.109375" style="38" customWidth="1"/>
    <col min="4868" max="4869" width="1" style="38" customWidth="1"/>
    <col min="4870" max="4870" width="0.88671875" style="38" customWidth="1"/>
    <col min="4871" max="4871" width="1" style="38" customWidth="1"/>
    <col min="4872" max="4872" width="17.88671875" style="38" customWidth="1"/>
    <col min="4873" max="4876" width="1" style="38" customWidth="1"/>
    <col min="4877" max="4877" width="17.88671875" style="38" customWidth="1"/>
    <col min="4878" max="4881" width="1" style="38" customWidth="1"/>
    <col min="4882" max="4882" width="17.88671875" style="38" customWidth="1"/>
    <col min="4883" max="4886" width="1" style="38" customWidth="1"/>
    <col min="4887" max="4887" width="17.88671875" style="38" customWidth="1"/>
    <col min="4888" max="4891" width="1" style="38" customWidth="1"/>
    <col min="4892" max="4892" width="17.88671875" style="38" customWidth="1"/>
    <col min="4893" max="4896" width="1" style="38" customWidth="1"/>
    <col min="4897" max="4897" width="17.88671875" style="38" customWidth="1"/>
    <col min="4898" max="4899" width="1" style="38" customWidth="1"/>
    <col min="4900" max="4900" width="1.33203125" style="38" customWidth="1"/>
    <col min="4901" max="4901" width="1" style="38" customWidth="1"/>
    <col min="4902" max="4902" width="17.88671875" style="38" customWidth="1"/>
    <col min="4903" max="4906" width="1" style="38" customWidth="1"/>
    <col min="4907" max="4907" width="14.6640625" style="38" customWidth="1"/>
    <col min="4908" max="4911" width="1" style="38" customWidth="1"/>
    <col min="4912" max="4912" width="17.88671875" style="38" customWidth="1"/>
    <col min="4913" max="4916" width="1" style="38" customWidth="1"/>
    <col min="4917" max="4917" width="17.88671875" style="38" customWidth="1"/>
    <col min="4918" max="4921" width="1" style="38" customWidth="1"/>
    <col min="4922" max="4922" width="17.88671875" style="38" customWidth="1"/>
    <col min="4923" max="4926" width="1" style="38" customWidth="1"/>
    <col min="4927" max="4927" width="17.88671875" style="38" customWidth="1"/>
    <col min="4928" max="4931" width="1" style="38" customWidth="1"/>
    <col min="4932" max="4932" width="18.6640625" style="38" bestFit="1" customWidth="1"/>
    <col min="4933" max="4936" width="1" style="38" customWidth="1"/>
    <col min="4937" max="4937" width="17.33203125" style="38" customWidth="1"/>
    <col min="4938" max="4938" width="0.6640625" style="38" customWidth="1"/>
    <col min="4939" max="4939" width="1" style="38" customWidth="1"/>
    <col min="4940" max="4994" width="0" style="38" hidden="1" customWidth="1"/>
    <col min="4995" max="4995" width="1" style="38" customWidth="1"/>
    <col min="4996" max="4996" width="1.88671875" style="38" customWidth="1"/>
    <col min="4997" max="4997" width="11.6640625" style="38" bestFit="1" customWidth="1"/>
    <col min="4998" max="4998" width="10" style="38" customWidth="1"/>
    <col min="4999" max="4999" width="10.44140625" style="38" bestFit="1" customWidth="1"/>
    <col min="5000" max="5000" width="10" style="38" customWidth="1"/>
    <col min="5001" max="5002" width="10" style="38"/>
    <col min="5003" max="5003" width="13.44140625" style="38" bestFit="1" customWidth="1"/>
    <col min="5004" max="5115" width="10" style="38"/>
    <col min="5116" max="5118" width="0" style="38" hidden="1" customWidth="1"/>
    <col min="5119" max="5119" width="64.88671875" style="38" customWidth="1"/>
    <col min="5120" max="5120" width="7" style="38" customWidth="1"/>
    <col min="5121" max="5122" width="1" style="38" customWidth="1"/>
    <col min="5123" max="5123" width="15.109375" style="38" customWidth="1"/>
    <col min="5124" max="5125" width="1" style="38" customWidth="1"/>
    <col min="5126" max="5126" width="0.88671875" style="38" customWidth="1"/>
    <col min="5127" max="5127" width="1" style="38" customWidth="1"/>
    <col min="5128" max="5128" width="17.88671875" style="38" customWidth="1"/>
    <col min="5129" max="5132" width="1" style="38" customWidth="1"/>
    <col min="5133" max="5133" width="17.88671875" style="38" customWidth="1"/>
    <col min="5134" max="5137" width="1" style="38" customWidth="1"/>
    <col min="5138" max="5138" width="17.88671875" style="38" customWidth="1"/>
    <col min="5139" max="5142" width="1" style="38" customWidth="1"/>
    <col min="5143" max="5143" width="17.88671875" style="38" customWidth="1"/>
    <col min="5144" max="5147" width="1" style="38" customWidth="1"/>
    <col min="5148" max="5148" width="17.88671875" style="38" customWidth="1"/>
    <col min="5149" max="5152" width="1" style="38" customWidth="1"/>
    <col min="5153" max="5153" width="17.88671875" style="38" customWidth="1"/>
    <col min="5154" max="5155" width="1" style="38" customWidth="1"/>
    <col min="5156" max="5156" width="1.33203125" style="38" customWidth="1"/>
    <col min="5157" max="5157" width="1" style="38" customWidth="1"/>
    <col min="5158" max="5158" width="17.88671875" style="38" customWidth="1"/>
    <col min="5159" max="5162" width="1" style="38" customWidth="1"/>
    <col min="5163" max="5163" width="14.6640625" style="38" customWidth="1"/>
    <col min="5164" max="5167" width="1" style="38" customWidth="1"/>
    <col min="5168" max="5168" width="17.88671875" style="38" customWidth="1"/>
    <col min="5169" max="5172" width="1" style="38" customWidth="1"/>
    <col min="5173" max="5173" width="17.88671875" style="38" customWidth="1"/>
    <col min="5174" max="5177" width="1" style="38" customWidth="1"/>
    <col min="5178" max="5178" width="17.88671875" style="38" customWidth="1"/>
    <col min="5179" max="5182" width="1" style="38" customWidth="1"/>
    <col min="5183" max="5183" width="17.88671875" style="38" customWidth="1"/>
    <col min="5184" max="5187" width="1" style="38" customWidth="1"/>
    <col min="5188" max="5188" width="18.6640625" style="38" bestFit="1" customWidth="1"/>
    <col min="5189" max="5192" width="1" style="38" customWidth="1"/>
    <col min="5193" max="5193" width="17.33203125" style="38" customWidth="1"/>
    <col min="5194" max="5194" width="0.6640625" style="38" customWidth="1"/>
    <col min="5195" max="5195" width="1" style="38" customWidth="1"/>
    <col min="5196" max="5250" width="0" style="38" hidden="1" customWidth="1"/>
    <col min="5251" max="5251" width="1" style="38" customWidth="1"/>
    <col min="5252" max="5252" width="1.88671875" style="38" customWidth="1"/>
    <col min="5253" max="5253" width="11.6640625" style="38" bestFit="1" customWidth="1"/>
    <col min="5254" max="5254" width="10" style="38" customWidth="1"/>
    <col min="5255" max="5255" width="10.44140625" style="38" bestFit="1" customWidth="1"/>
    <col min="5256" max="5256" width="10" style="38" customWidth="1"/>
    <col min="5257" max="5258" width="10" style="38"/>
    <col min="5259" max="5259" width="13.44140625" style="38" bestFit="1" customWidth="1"/>
    <col min="5260" max="5371" width="10" style="38"/>
    <col min="5372" max="5374" width="0" style="38" hidden="1" customWidth="1"/>
    <col min="5375" max="5375" width="64.88671875" style="38" customWidth="1"/>
    <col min="5376" max="5376" width="7" style="38" customWidth="1"/>
    <col min="5377" max="5378" width="1" style="38" customWidth="1"/>
    <col min="5379" max="5379" width="15.109375" style="38" customWidth="1"/>
    <col min="5380" max="5381" width="1" style="38" customWidth="1"/>
    <col min="5382" max="5382" width="0.88671875" style="38" customWidth="1"/>
    <col min="5383" max="5383" width="1" style="38" customWidth="1"/>
    <col min="5384" max="5384" width="17.88671875" style="38" customWidth="1"/>
    <col min="5385" max="5388" width="1" style="38" customWidth="1"/>
    <col min="5389" max="5389" width="17.88671875" style="38" customWidth="1"/>
    <col min="5390" max="5393" width="1" style="38" customWidth="1"/>
    <col min="5394" max="5394" width="17.88671875" style="38" customWidth="1"/>
    <col min="5395" max="5398" width="1" style="38" customWidth="1"/>
    <col min="5399" max="5399" width="17.88671875" style="38" customWidth="1"/>
    <col min="5400" max="5403" width="1" style="38" customWidth="1"/>
    <col min="5404" max="5404" width="17.88671875" style="38" customWidth="1"/>
    <col min="5405" max="5408" width="1" style="38" customWidth="1"/>
    <col min="5409" max="5409" width="17.88671875" style="38" customWidth="1"/>
    <col min="5410" max="5411" width="1" style="38" customWidth="1"/>
    <col min="5412" max="5412" width="1.33203125" style="38" customWidth="1"/>
    <col min="5413" max="5413" width="1" style="38" customWidth="1"/>
    <col min="5414" max="5414" width="17.88671875" style="38" customWidth="1"/>
    <col min="5415" max="5418" width="1" style="38" customWidth="1"/>
    <col min="5419" max="5419" width="14.6640625" style="38" customWidth="1"/>
    <col min="5420" max="5423" width="1" style="38" customWidth="1"/>
    <col min="5424" max="5424" width="17.88671875" style="38" customWidth="1"/>
    <col min="5425" max="5428" width="1" style="38" customWidth="1"/>
    <col min="5429" max="5429" width="17.88671875" style="38" customWidth="1"/>
    <col min="5430" max="5433" width="1" style="38" customWidth="1"/>
    <col min="5434" max="5434" width="17.88671875" style="38" customWidth="1"/>
    <col min="5435" max="5438" width="1" style="38" customWidth="1"/>
    <col min="5439" max="5439" width="17.88671875" style="38" customWidth="1"/>
    <col min="5440" max="5443" width="1" style="38" customWidth="1"/>
    <col min="5444" max="5444" width="18.6640625" style="38" bestFit="1" customWidth="1"/>
    <col min="5445" max="5448" width="1" style="38" customWidth="1"/>
    <col min="5449" max="5449" width="17.33203125" style="38" customWidth="1"/>
    <col min="5450" max="5450" width="0.6640625" style="38" customWidth="1"/>
    <col min="5451" max="5451" width="1" style="38" customWidth="1"/>
    <col min="5452" max="5506" width="0" style="38" hidden="1" customWidth="1"/>
    <col min="5507" max="5507" width="1" style="38" customWidth="1"/>
    <col min="5508" max="5508" width="1.88671875" style="38" customWidth="1"/>
    <col min="5509" max="5509" width="11.6640625" style="38" bestFit="1" customWidth="1"/>
    <col min="5510" max="5510" width="10" style="38" customWidth="1"/>
    <col min="5511" max="5511" width="10.44140625" style="38" bestFit="1" customWidth="1"/>
    <col min="5512" max="5512" width="10" style="38" customWidth="1"/>
    <col min="5513" max="5514" width="10" style="38"/>
    <col min="5515" max="5515" width="13.44140625" style="38" bestFit="1" customWidth="1"/>
    <col min="5516" max="5627" width="10" style="38"/>
    <col min="5628" max="5630" width="0" style="38" hidden="1" customWidth="1"/>
    <col min="5631" max="5631" width="64.88671875" style="38" customWidth="1"/>
    <col min="5632" max="5632" width="7" style="38" customWidth="1"/>
    <col min="5633" max="5634" width="1" style="38" customWidth="1"/>
    <col min="5635" max="5635" width="15.109375" style="38" customWidth="1"/>
    <col min="5636" max="5637" width="1" style="38" customWidth="1"/>
    <col min="5638" max="5638" width="0.88671875" style="38" customWidth="1"/>
    <col min="5639" max="5639" width="1" style="38" customWidth="1"/>
    <col min="5640" max="5640" width="17.88671875" style="38" customWidth="1"/>
    <col min="5641" max="5644" width="1" style="38" customWidth="1"/>
    <col min="5645" max="5645" width="17.88671875" style="38" customWidth="1"/>
    <col min="5646" max="5649" width="1" style="38" customWidth="1"/>
    <col min="5650" max="5650" width="17.88671875" style="38" customWidth="1"/>
    <col min="5651" max="5654" width="1" style="38" customWidth="1"/>
    <col min="5655" max="5655" width="17.88671875" style="38" customWidth="1"/>
    <col min="5656" max="5659" width="1" style="38" customWidth="1"/>
    <col min="5660" max="5660" width="17.88671875" style="38" customWidth="1"/>
    <col min="5661" max="5664" width="1" style="38" customWidth="1"/>
    <col min="5665" max="5665" width="17.88671875" style="38" customWidth="1"/>
    <col min="5666" max="5667" width="1" style="38" customWidth="1"/>
    <col min="5668" max="5668" width="1.33203125" style="38" customWidth="1"/>
    <col min="5669" max="5669" width="1" style="38" customWidth="1"/>
    <col min="5670" max="5670" width="17.88671875" style="38" customWidth="1"/>
    <col min="5671" max="5674" width="1" style="38" customWidth="1"/>
    <col min="5675" max="5675" width="14.6640625" style="38" customWidth="1"/>
    <col min="5676" max="5679" width="1" style="38" customWidth="1"/>
    <col min="5680" max="5680" width="17.88671875" style="38" customWidth="1"/>
    <col min="5681" max="5684" width="1" style="38" customWidth="1"/>
    <col min="5685" max="5685" width="17.88671875" style="38" customWidth="1"/>
    <col min="5686" max="5689" width="1" style="38" customWidth="1"/>
    <col min="5690" max="5690" width="17.88671875" style="38" customWidth="1"/>
    <col min="5691" max="5694" width="1" style="38" customWidth="1"/>
    <col min="5695" max="5695" width="17.88671875" style="38" customWidth="1"/>
    <col min="5696" max="5699" width="1" style="38" customWidth="1"/>
    <col min="5700" max="5700" width="18.6640625" style="38" bestFit="1" customWidth="1"/>
    <col min="5701" max="5704" width="1" style="38" customWidth="1"/>
    <col min="5705" max="5705" width="17.33203125" style="38" customWidth="1"/>
    <col min="5706" max="5706" width="0.6640625" style="38" customWidth="1"/>
    <col min="5707" max="5707" width="1" style="38" customWidth="1"/>
    <col min="5708" max="5762" width="0" style="38" hidden="1" customWidth="1"/>
    <col min="5763" max="5763" width="1" style="38" customWidth="1"/>
    <col min="5764" max="5764" width="1.88671875" style="38" customWidth="1"/>
    <col min="5765" max="5765" width="11.6640625" style="38" bestFit="1" customWidth="1"/>
    <col min="5766" max="5766" width="10" style="38" customWidth="1"/>
    <col min="5767" max="5767" width="10.44140625" style="38" bestFit="1" customWidth="1"/>
    <col min="5768" max="5768" width="10" style="38" customWidth="1"/>
    <col min="5769" max="5770" width="10" style="38"/>
    <col min="5771" max="5771" width="13.44140625" style="38" bestFit="1" customWidth="1"/>
    <col min="5772" max="5883" width="10" style="38"/>
    <col min="5884" max="5886" width="0" style="38" hidden="1" customWidth="1"/>
    <col min="5887" max="5887" width="64.88671875" style="38" customWidth="1"/>
    <col min="5888" max="5888" width="7" style="38" customWidth="1"/>
    <col min="5889" max="5890" width="1" style="38" customWidth="1"/>
    <col min="5891" max="5891" width="15.109375" style="38" customWidth="1"/>
    <col min="5892" max="5893" width="1" style="38" customWidth="1"/>
    <col min="5894" max="5894" width="0.88671875" style="38" customWidth="1"/>
    <col min="5895" max="5895" width="1" style="38" customWidth="1"/>
    <col min="5896" max="5896" width="17.88671875" style="38" customWidth="1"/>
    <col min="5897" max="5900" width="1" style="38" customWidth="1"/>
    <col min="5901" max="5901" width="17.88671875" style="38" customWidth="1"/>
    <col min="5902" max="5905" width="1" style="38" customWidth="1"/>
    <col min="5906" max="5906" width="17.88671875" style="38" customWidth="1"/>
    <col min="5907" max="5910" width="1" style="38" customWidth="1"/>
    <col min="5911" max="5911" width="17.88671875" style="38" customWidth="1"/>
    <col min="5912" max="5915" width="1" style="38" customWidth="1"/>
    <col min="5916" max="5916" width="17.88671875" style="38" customWidth="1"/>
    <col min="5917" max="5920" width="1" style="38" customWidth="1"/>
    <col min="5921" max="5921" width="17.88671875" style="38" customWidth="1"/>
    <col min="5922" max="5923" width="1" style="38" customWidth="1"/>
    <col min="5924" max="5924" width="1.33203125" style="38" customWidth="1"/>
    <col min="5925" max="5925" width="1" style="38" customWidth="1"/>
    <col min="5926" max="5926" width="17.88671875" style="38" customWidth="1"/>
    <col min="5927" max="5930" width="1" style="38" customWidth="1"/>
    <col min="5931" max="5931" width="14.6640625" style="38" customWidth="1"/>
    <col min="5932" max="5935" width="1" style="38" customWidth="1"/>
    <col min="5936" max="5936" width="17.88671875" style="38" customWidth="1"/>
    <col min="5937" max="5940" width="1" style="38" customWidth="1"/>
    <col min="5941" max="5941" width="17.88671875" style="38" customWidth="1"/>
    <col min="5942" max="5945" width="1" style="38" customWidth="1"/>
    <col min="5946" max="5946" width="17.88671875" style="38" customWidth="1"/>
    <col min="5947" max="5950" width="1" style="38" customWidth="1"/>
    <col min="5951" max="5951" width="17.88671875" style="38" customWidth="1"/>
    <col min="5952" max="5955" width="1" style="38" customWidth="1"/>
    <col min="5956" max="5956" width="18.6640625" style="38" bestFit="1" customWidth="1"/>
    <col min="5957" max="5960" width="1" style="38" customWidth="1"/>
    <col min="5961" max="5961" width="17.33203125" style="38" customWidth="1"/>
    <col min="5962" max="5962" width="0.6640625" style="38" customWidth="1"/>
    <col min="5963" max="5963" width="1" style="38" customWidth="1"/>
    <col min="5964" max="6018" width="0" style="38" hidden="1" customWidth="1"/>
    <col min="6019" max="6019" width="1" style="38" customWidth="1"/>
    <col min="6020" max="6020" width="1.88671875" style="38" customWidth="1"/>
    <col min="6021" max="6021" width="11.6640625" style="38" bestFit="1" customWidth="1"/>
    <col min="6022" max="6022" width="10" style="38" customWidth="1"/>
    <col min="6023" max="6023" width="10.44140625" style="38" bestFit="1" customWidth="1"/>
    <col min="6024" max="6024" width="10" style="38" customWidth="1"/>
    <col min="6025" max="6026" width="10" style="38"/>
    <col min="6027" max="6027" width="13.44140625" style="38" bestFit="1" customWidth="1"/>
    <col min="6028" max="6139" width="10" style="38"/>
    <col min="6140" max="6142" width="0" style="38" hidden="1" customWidth="1"/>
    <col min="6143" max="6143" width="64.88671875" style="38" customWidth="1"/>
    <col min="6144" max="6144" width="7" style="38" customWidth="1"/>
    <col min="6145" max="6146" width="1" style="38" customWidth="1"/>
    <col min="6147" max="6147" width="15.109375" style="38" customWidth="1"/>
    <col min="6148" max="6149" width="1" style="38" customWidth="1"/>
    <col min="6150" max="6150" width="0.88671875" style="38" customWidth="1"/>
    <col min="6151" max="6151" width="1" style="38" customWidth="1"/>
    <col min="6152" max="6152" width="17.88671875" style="38" customWidth="1"/>
    <col min="6153" max="6156" width="1" style="38" customWidth="1"/>
    <col min="6157" max="6157" width="17.88671875" style="38" customWidth="1"/>
    <col min="6158" max="6161" width="1" style="38" customWidth="1"/>
    <col min="6162" max="6162" width="17.88671875" style="38" customWidth="1"/>
    <col min="6163" max="6166" width="1" style="38" customWidth="1"/>
    <col min="6167" max="6167" width="17.88671875" style="38" customWidth="1"/>
    <col min="6168" max="6171" width="1" style="38" customWidth="1"/>
    <col min="6172" max="6172" width="17.88671875" style="38" customWidth="1"/>
    <col min="6173" max="6176" width="1" style="38" customWidth="1"/>
    <col min="6177" max="6177" width="17.88671875" style="38" customWidth="1"/>
    <col min="6178" max="6179" width="1" style="38" customWidth="1"/>
    <col min="6180" max="6180" width="1.33203125" style="38" customWidth="1"/>
    <col min="6181" max="6181" width="1" style="38" customWidth="1"/>
    <col min="6182" max="6182" width="17.88671875" style="38" customWidth="1"/>
    <col min="6183" max="6186" width="1" style="38" customWidth="1"/>
    <col min="6187" max="6187" width="14.6640625" style="38" customWidth="1"/>
    <col min="6188" max="6191" width="1" style="38" customWidth="1"/>
    <col min="6192" max="6192" width="17.88671875" style="38" customWidth="1"/>
    <col min="6193" max="6196" width="1" style="38" customWidth="1"/>
    <col min="6197" max="6197" width="17.88671875" style="38" customWidth="1"/>
    <col min="6198" max="6201" width="1" style="38" customWidth="1"/>
    <col min="6202" max="6202" width="17.88671875" style="38" customWidth="1"/>
    <col min="6203" max="6206" width="1" style="38" customWidth="1"/>
    <col min="6207" max="6207" width="17.88671875" style="38" customWidth="1"/>
    <col min="6208" max="6211" width="1" style="38" customWidth="1"/>
    <col min="6212" max="6212" width="18.6640625" style="38" bestFit="1" customWidth="1"/>
    <col min="6213" max="6216" width="1" style="38" customWidth="1"/>
    <col min="6217" max="6217" width="17.33203125" style="38" customWidth="1"/>
    <col min="6218" max="6218" width="0.6640625" style="38" customWidth="1"/>
    <col min="6219" max="6219" width="1" style="38" customWidth="1"/>
    <col min="6220" max="6274" width="0" style="38" hidden="1" customWidth="1"/>
    <col min="6275" max="6275" width="1" style="38" customWidth="1"/>
    <col min="6276" max="6276" width="1.88671875" style="38" customWidth="1"/>
    <col min="6277" max="6277" width="11.6640625" style="38" bestFit="1" customWidth="1"/>
    <col min="6278" max="6278" width="10" style="38" customWidth="1"/>
    <col min="6279" max="6279" width="10.44140625" style="38" bestFit="1" customWidth="1"/>
    <col min="6280" max="6280" width="10" style="38" customWidth="1"/>
    <col min="6281" max="6282" width="10" style="38"/>
    <col min="6283" max="6283" width="13.44140625" style="38" bestFit="1" customWidth="1"/>
    <col min="6284" max="6395" width="10" style="38"/>
    <col min="6396" max="6398" width="0" style="38" hidden="1" customWidth="1"/>
    <col min="6399" max="6399" width="64.88671875" style="38" customWidth="1"/>
    <col min="6400" max="6400" width="7" style="38" customWidth="1"/>
    <col min="6401" max="6402" width="1" style="38" customWidth="1"/>
    <col min="6403" max="6403" width="15.109375" style="38" customWidth="1"/>
    <col min="6404" max="6405" width="1" style="38" customWidth="1"/>
    <col min="6406" max="6406" width="0.88671875" style="38" customWidth="1"/>
    <col min="6407" max="6407" width="1" style="38" customWidth="1"/>
    <col min="6408" max="6408" width="17.88671875" style="38" customWidth="1"/>
    <col min="6409" max="6412" width="1" style="38" customWidth="1"/>
    <col min="6413" max="6413" width="17.88671875" style="38" customWidth="1"/>
    <col min="6414" max="6417" width="1" style="38" customWidth="1"/>
    <col min="6418" max="6418" width="17.88671875" style="38" customWidth="1"/>
    <col min="6419" max="6422" width="1" style="38" customWidth="1"/>
    <col min="6423" max="6423" width="17.88671875" style="38" customWidth="1"/>
    <col min="6424" max="6427" width="1" style="38" customWidth="1"/>
    <col min="6428" max="6428" width="17.88671875" style="38" customWidth="1"/>
    <col min="6429" max="6432" width="1" style="38" customWidth="1"/>
    <col min="6433" max="6433" width="17.88671875" style="38" customWidth="1"/>
    <col min="6434" max="6435" width="1" style="38" customWidth="1"/>
    <col min="6436" max="6436" width="1.33203125" style="38" customWidth="1"/>
    <col min="6437" max="6437" width="1" style="38" customWidth="1"/>
    <col min="6438" max="6438" width="17.88671875" style="38" customWidth="1"/>
    <col min="6439" max="6442" width="1" style="38" customWidth="1"/>
    <col min="6443" max="6443" width="14.6640625" style="38" customWidth="1"/>
    <col min="6444" max="6447" width="1" style="38" customWidth="1"/>
    <col min="6448" max="6448" width="17.88671875" style="38" customWidth="1"/>
    <col min="6449" max="6452" width="1" style="38" customWidth="1"/>
    <col min="6453" max="6453" width="17.88671875" style="38" customWidth="1"/>
    <col min="6454" max="6457" width="1" style="38" customWidth="1"/>
    <col min="6458" max="6458" width="17.88671875" style="38" customWidth="1"/>
    <col min="6459" max="6462" width="1" style="38" customWidth="1"/>
    <col min="6463" max="6463" width="17.88671875" style="38" customWidth="1"/>
    <col min="6464" max="6467" width="1" style="38" customWidth="1"/>
    <col min="6468" max="6468" width="18.6640625" style="38" bestFit="1" customWidth="1"/>
    <col min="6469" max="6472" width="1" style="38" customWidth="1"/>
    <col min="6473" max="6473" width="17.33203125" style="38" customWidth="1"/>
    <col min="6474" max="6474" width="0.6640625" style="38" customWidth="1"/>
    <col min="6475" max="6475" width="1" style="38" customWidth="1"/>
    <col min="6476" max="6530" width="0" style="38" hidden="1" customWidth="1"/>
    <col min="6531" max="6531" width="1" style="38" customWidth="1"/>
    <col min="6532" max="6532" width="1.88671875" style="38" customWidth="1"/>
    <col min="6533" max="6533" width="11.6640625" style="38" bestFit="1" customWidth="1"/>
    <col min="6534" max="6534" width="10" style="38" customWidth="1"/>
    <col min="6535" max="6535" width="10.44140625" style="38" bestFit="1" customWidth="1"/>
    <col min="6536" max="6536" width="10" style="38" customWidth="1"/>
    <col min="6537" max="6538" width="10" style="38"/>
    <col min="6539" max="6539" width="13.44140625" style="38" bestFit="1" customWidth="1"/>
    <col min="6540" max="6651" width="10" style="38"/>
    <col min="6652" max="6654" width="0" style="38" hidden="1" customWidth="1"/>
    <col min="6655" max="6655" width="64.88671875" style="38" customWidth="1"/>
    <col min="6656" max="6656" width="7" style="38" customWidth="1"/>
    <col min="6657" max="6658" width="1" style="38" customWidth="1"/>
    <col min="6659" max="6659" width="15.109375" style="38" customWidth="1"/>
    <col min="6660" max="6661" width="1" style="38" customWidth="1"/>
    <col min="6662" max="6662" width="0.88671875" style="38" customWidth="1"/>
    <col min="6663" max="6663" width="1" style="38" customWidth="1"/>
    <col min="6664" max="6664" width="17.88671875" style="38" customWidth="1"/>
    <col min="6665" max="6668" width="1" style="38" customWidth="1"/>
    <col min="6669" max="6669" width="17.88671875" style="38" customWidth="1"/>
    <col min="6670" max="6673" width="1" style="38" customWidth="1"/>
    <col min="6674" max="6674" width="17.88671875" style="38" customWidth="1"/>
    <col min="6675" max="6678" width="1" style="38" customWidth="1"/>
    <col min="6679" max="6679" width="17.88671875" style="38" customWidth="1"/>
    <col min="6680" max="6683" width="1" style="38" customWidth="1"/>
    <col min="6684" max="6684" width="17.88671875" style="38" customWidth="1"/>
    <col min="6685" max="6688" width="1" style="38" customWidth="1"/>
    <col min="6689" max="6689" width="17.88671875" style="38" customWidth="1"/>
    <col min="6690" max="6691" width="1" style="38" customWidth="1"/>
    <col min="6692" max="6692" width="1.33203125" style="38" customWidth="1"/>
    <col min="6693" max="6693" width="1" style="38" customWidth="1"/>
    <col min="6694" max="6694" width="17.88671875" style="38" customWidth="1"/>
    <col min="6695" max="6698" width="1" style="38" customWidth="1"/>
    <col min="6699" max="6699" width="14.6640625" style="38" customWidth="1"/>
    <col min="6700" max="6703" width="1" style="38" customWidth="1"/>
    <col min="6704" max="6704" width="17.88671875" style="38" customWidth="1"/>
    <col min="6705" max="6708" width="1" style="38" customWidth="1"/>
    <col min="6709" max="6709" width="17.88671875" style="38" customWidth="1"/>
    <col min="6710" max="6713" width="1" style="38" customWidth="1"/>
    <col min="6714" max="6714" width="17.88671875" style="38" customWidth="1"/>
    <col min="6715" max="6718" width="1" style="38" customWidth="1"/>
    <col min="6719" max="6719" width="17.88671875" style="38" customWidth="1"/>
    <col min="6720" max="6723" width="1" style="38" customWidth="1"/>
    <col min="6724" max="6724" width="18.6640625" style="38" bestFit="1" customWidth="1"/>
    <col min="6725" max="6728" width="1" style="38" customWidth="1"/>
    <col min="6729" max="6729" width="17.33203125" style="38" customWidth="1"/>
    <col min="6730" max="6730" width="0.6640625" style="38" customWidth="1"/>
    <col min="6731" max="6731" width="1" style="38" customWidth="1"/>
    <col min="6732" max="6786" width="0" style="38" hidden="1" customWidth="1"/>
    <col min="6787" max="6787" width="1" style="38" customWidth="1"/>
    <col min="6788" max="6788" width="1.88671875" style="38" customWidth="1"/>
    <col min="6789" max="6789" width="11.6640625" style="38" bestFit="1" customWidth="1"/>
    <col min="6790" max="6790" width="10" style="38" customWidth="1"/>
    <col min="6791" max="6791" width="10.44140625" style="38" bestFit="1" customWidth="1"/>
    <col min="6792" max="6792" width="10" style="38" customWidth="1"/>
    <col min="6793" max="6794" width="10" style="38"/>
    <col min="6795" max="6795" width="13.44140625" style="38" bestFit="1" customWidth="1"/>
    <col min="6796" max="6907" width="10" style="38"/>
    <col min="6908" max="6910" width="0" style="38" hidden="1" customWidth="1"/>
    <col min="6911" max="6911" width="64.88671875" style="38" customWidth="1"/>
    <col min="6912" max="6912" width="7" style="38" customWidth="1"/>
    <col min="6913" max="6914" width="1" style="38" customWidth="1"/>
    <col min="6915" max="6915" width="15.109375" style="38" customWidth="1"/>
    <col min="6916" max="6917" width="1" style="38" customWidth="1"/>
    <col min="6918" max="6918" width="0.88671875" style="38" customWidth="1"/>
    <col min="6919" max="6919" width="1" style="38" customWidth="1"/>
    <col min="6920" max="6920" width="17.88671875" style="38" customWidth="1"/>
    <col min="6921" max="6924" width="1" style="38" customWidth="1"/>
    <col min="6925" max="6925" width="17.88671875" style="38" customWidth="1"/>
    <col min="6926" max="6929" width="1" style="38" customWidth="1"/>
    <col min="6930" max="6930" width="17.88671875" style="38" customWidth="1"/>
    <col min="6931" max="6934" width="1" style="38" customWidth="1"/>
    <col min="6935" max="6935" width="17.88671875" style="38" customWidth="1"/>
    <col min="6936" max="6939" width="1" style="38" customWidth="1"/>
    <col min="6940" max="6940" width="17.88671875" style="38" customWidth="1"/>
    <col min="6941" max="6944" width="1" style="38" customWidth="1"/>
    <col min="6945" max="6945" width="17.88671875" style="38" customWidth="1"/>
    <col min="6946" max="6947" width="1" style="38" customWidth="1"/>
    <col min="6948" max="6948" width="1.33203125" style="38" customWidth="1"/>
    <col min="6949" max="6949" width="1" style="38" customWidth="1"/>
    <col min="6950" max="6950" width="17.88671875" style="38" customWidth="1"/>
    <col min="6951" max="6954" width="1" style="38" customWidth="1"/>
    <col min="6955" max="6955" width="14.6640625" style="38" customWidth="1"/>
    <col min="6956" max="6959" width="1" style="38" customWidth="1"/>
    <col min="6960" max="6960" width="17.88671875" style="38" customWidth="1"/>
    <col min="6961" max="6964" width="1" style="38" customWidth="1"/>
    <col min="6965" max="6965" width="17.88671875" style="38" customWidth="1"/>
    <col min="6966" max="6969" width="1" style="38" customWidth="1"/>
    <col min="6970" max="6970" width="17.88671875" style="38" customWidth="1"/>
    <col min="6971" max="6974" width="1" style="38" customWidth="1"/>
    <col min="6975" max="6975" width="17.88671875" style="38" customWidth="1"/>
    <col min="6976" max="6979" width="1" style="38" customWidth="1"/>
    <col min="6980" max="6980" width="18.6640625" style="38" bestFit="1" customWidth="1"/>
    <col min="6981" max="6984" width="1" style="38" customWidth="1"/>
    <col min="6985" max="6985" width="17.33203125" style="38" customWidth="1"/>
    <col min="6986" max="6986" width="0.6640625" style="38" customWidth="1"/>
    <col min="6987" max="6987" width="1" style="38" customWidth="1"/>
    <col min="6988" max="7042" width="0" style="38" hidden="1" customWidth="1"/>
    <col min="7043" max="7043" width="1" style="38" customWidth="1"/>
    <col min="7044" max="7044" width="1.88671875" style="38" customWidth="1"/>
    <col min="7045" max="7045" width="11.6640625" style="38" bestFit="1" customWidth="1"/>
    <col min="7046" max="7046" width="10" style="38" customWidth="1"/>
    <col min="7047" max="7047" width="10.44140625" style="38" bestFit="1" customWidth="1"/>
    <col min="7048" max="7048" width="10" style="38" customWidth="1"/>
    <col min="7049" max="7050" width="10" style="38"/>
    <col min="7051" max="7051" width="13.44140625" style="38" bestFit="1" customWidth="1"/>
    <col min="7052" max="7163" width="10" style="38"/>
    <col min="7164" max="7166" width="0" style="38" hidden="1" customWidth="1"/>
    <col min="7167" max="7167" width="64.88671875" style="38" customWidth="1"/>
    <col min="7168" max="7168" width="7" style="38" customWidth="1"/>
    <col min="7169" max="7170" width="1" style="38" customWidth="1"/>
    <col min="7171" max="7171" width="15.109375" style="38" customWidth="1"/>
    <col min="7172" max="7173" width="1" style="38" customWidth="1"/>
    <col min="7174" max="7174" width="0.88671875" style="38" customWidth="1"/>
    <col min="7175" max="7175" width="1" style="38" customWidth="1"/>
    <col min="7176" max="7176" width="17.88671875" style="38" customWidth="1"/>
    <col min="7177" max="7180" width="1" style="38" customWidth="1"/>
    <col min="7181" max="7181" width="17.88671875" style="38" customWidth="1"/>
    <col min="7182" max="7185" width="1" style="38" customWidth="1"/>
    <col min="7186" max="7186" width="17.88671875" style="38" customWidth="1"/>
    <col min="7187" max="7190" width="1" style="38" customWidth="1"/>
    <col min="7191" max="7191" width="17.88671875" style="38" customWidth="1"/>
    <col min="7192" max="7195" width="1" style="38" customWidth="1"/>
    <col min="7196" max="7196" width="17.88671875" style="38" customWidth="1"/>
    <col min="7197" max="7200" width="1" style="38" customWidth="1"/>
    <col min="7201" max="7201" width="17.88671875" style="38" customWidth="1"/>
    <col min="7202" max="7203" width="1" style="38" customWidth="1"/>
    <col min="7204" max="7204" width="1.33203125" style="38" customWidth="1"/>
    <col min="7205" max="7205" width="1" style="38" customWidth="1"/>
    <col min="7206" max="7206" width="17.88671875" style="38" customWidth="1"/>
    <col min="7207" max="7210" width="1" style="38" customWidth="1"/>
    <col min="7211" max="7211" width="14.6640625" style="38" customWidth="1"/>
    <col min="7212" max="7215" width="1" style="38" customWidth="1"/>
    <col min="7216" max="7216" width="17.88671875" style="38" customWidth="1"/>
    <col min="7217" max="7220" width="1" style="38" customWidth="1"/>
    <col min="7221" max="7221" width="17.88671875" style="38" customWidth="1"/>
    <col min="7222" max="7225" width="1" style="38" customWidth="1"/>
    <col min="7226" max="7226" width="17.88671875" style="38" customWidth="1"/>
    <col min="7227" max="7230" width="1" style="38" customWidth="1"/>
    <col min="7231" max="7231" width="17.88671875" style="38" customWidth="1"/>
    <col min="7232" max="7235" width="1" style="38" customWidth="1"/>
    <col min="7236" max="7236" width="18.6640625" style="38" bestFit="1" customWidth="1"/>
    <col min="7237" max="7240" width="1" style="38" customWidth="1"/>
    <col min="7241" max="7241" width="17.33203125" style="38" customWidth="1"/>
    <col min="7242" max="7242" width="0.6640625" style="38" customWidth="1"/>
    <col min="7243" max="7243" width="1" style="38" customWidth="1"/>
    <col min="7244" max="7298" width="0" style="38" hidden="1" customWidth="1"/>
    <col min="7299" max="7299" width="1" style="38" customWidth="1"/>
    <col min="7300" max="7300" width="1.88671875" style="38" customWidth="1"/>
    <col min="7301" max="7301" width="11.6640625" style="38" bestFit="1" customWidth="1"/>
    <col min="7302" max="7302" width="10" style="38" customWidth="1"/>
    <col min="7303" max="7303" width="10.44140625" style="38" bestFit="1" customWidth="1"/>
    <col min="7304" max="7304" width="10" style="38" customWidth="1"/>
    <col min="7305" max="7306" width="10" style="38"/>
    <col min="7307" max="7307" width="13.44140625" style="38" bestFit="1" customWidth="1"/>
    <col min="7308" max="7419" width="10" style="38"/>
    <col min="7420" max="7422" width="0" style="38" hidden="1" customWidth="1"/>
    <col min="7423" max="7423" width="64.88671875" style="38" customWidth="1"/>
    <col min="7424" max="7424" width="7" style="38" customWidth="1"/>
    <col min="7425" max="7426" width="1" style="38" customWidth="1"/>
    <col min="7427" max="7427" width="15.109375" style="38" customWidth="1"/>
    <col min="7428" max="7429" width="1" style="38" customWidth="1"/>
    <col min="7430" max="7430" width="0.88671875" style="38" customWidth="1"/>
    <col min="7431" max="7431" width="1" style="38" customWidth="1"/>
    <col min="7432" max="7432" width="17.88671875" style="38" customWidth="1"/>
    <col min="7433" max="7436" width="1" style="38" customWidth="1"/>
    <col min="7437" max="7437" width="17.88671875" style="38" customWidth="1"/>
    <col min="7438" max="7441" width="1" style="38" customWidth="1"/>
    <col min="7442" max="7442" width="17.88671875" style="38" customWidth="1"/>
    <col min="7443" max="7446" width="1" style="38" customWidth="1"/>
    <col min="7447" max="7447" width="17.88671875" style="38" customWidth="1"/>
    <col min="7448" max="7451" width="1" style="38" customWidth="1"/>
    <col min="7452" max="7452" width="17.88671875" style="38" customWidth="1"/>
    <col min="7453" max="7456" width="1" style="38" customWidth="1"/>
    <col min="7457" max="7457" width="17.88671875" style="38" customWidth="1"/>
    <col min="7458" max="7459" width="1" style="38" customWidth="1"/>
    <col min="7460" max="7460" width="1.33203125" style="38" customWidth="1"/>
    <col min="7461" max="7461" width="1" style="38" customWidth="1"/>
    <col min="7462" max="7462" width="17.88671875" style="38" customWidth="1"/>
    <col min="7463" max="7466" width="1" style="38" customWidth="1"/>
    <col min="7467" max="7467" width="14.6640625" style="38" customWidth="1"/>
    <col min="7468" max="7471" width="1" style="38" customWidth="1"/>
    <col min="7472" max="7472" width="17.88671875" style="38" customWidth="1"/>
    <col min="7473" max="7476" width="1" style="38" customWidth="1"/>
    <col min="7477" max="7477" width="17.88671875" style="38" customWidth="1"/>
    <col min="7478" max="7481" width="1" style="38" customWidth="1"/>
    <col min="7482" max="7482" width="17.88671875" style="38" customWidth="1"/>
    <col min="7483" max="7486" width="1" style="38" customWidth="1"/>
    <col min="7487" max="7487" width="17.88671875" style="38" customWidth="1"/>
    <col min="7488" max="7491" width="1" style="38" customWidth="1"/>
    <col min="7492" max="7492" width="18.6640625" style="38" bestFit="1" customWidth="1"/>
    <col min="7493" max="7496" width="1" style="38" customWidth="1"/>
    <col min="7497" max="7497" width="17.33203125" style="38" customWidth="1"/>
    <col min="7498" max="7498" width="0.6640625" style="38" customWidth="1"/>
    <col min="7499" max="7499" width="1" style="38" customWidth="1"/>
    <col min="7500" max="7554" width="0" style="38" hidden="1" customWidth="1"/>
    <col min="7555" max="7555" width="1" style="38" customWidth="1"/>
    <col min="7556" max="7556" width="1.88671875" style="38" customWidth="1"/>
    <col min="7557" max="7557" width="11.6640625" style="38" bestFit="1" customWidth="1"/>
    <col min="7558" max="7558" width="10" style="38" customWidth="1"/>
    <col min="7559" max="7559" width="10.44140625" style="38" bestFit="1" customWidth="1"/>
    <col min="7560" max="7560" width="10" style="38" customWidth="1"/>
    <col min="7561" max="7562" width="10" style="38"/>
    <col min="7563" max="7563" width="13.44140625" style="38" bestFit="1" customWidth="1"/>
    <col min="7564" max="7675" width="10" style="38"/>
    <col min="7676" max="7678" width="0" style="38" hidden="1" customWidth="1"/>
    <col min="7679" max="7679" width="64.88671875" style="38" customWidth="1"/>
    <col min="7680" max="7680" width="7" style="38" customWidth="1"/>
    <col min="7681" max="7682" width="1" style="38" customWidth="1"/>
    <col min="7683" max="7683" width="15.109375" style="38" customWidth="1"/>
    <col min="7684" max="7685" width="1" style="38" customWidth="1"/>
    <col min="7686" max="7686" width="0.88671875" style="38" customWidth="1"/>
    <col min="7687" max="7687" width="1" style="38" customWidth="1"/>
    <col min="7688" max="7688" width="17.88671875" style="38" customWidth="1"/>
    <col min="7689" max="7692" width="1" style="38" customWidth="1"/>
    <col min="7693" max="7693" width="17.88671875" style="38" customWidth="1"/>
    <col min="7694" max="7697" width="1" style="38" customWidth="1"/>
    <col min="7698" max="7698" width="17.88671875" style="38" customWidth="1"/>
    <col min="7699" max="7702" width="1" style="38" customWidth="1"/>
    <col min="7703" max="7703" width="17.88671875" style="38" customWidth="1"/>
    <col min="7704" max="7707" width="1" style="38" customWidth="1"/>
    <col min="7708" max="7708" width="17.88671875" style="38" customWidth="1"/>
    <col min="7709" max="7712" width="1" style="38" customWidth="1"/>
    <col min="7713" max="7713" width="17.88671875" style="38" customWidth="1"/>
    <col min="7714" max="7715" width="1" style="38" customWidth="1"/>
    <col min="7716" max="7716" width="1.33203125" style="38" customWidth="1"/>
    <col min="7717" max="7717" width="1" style="38" customWidth="1"/>
    <col min="7718" max="7718" width="17.88671875" style="38" customWidth="1"/>
    <col min="7719" max="7722" width="1" style="38" customWidth="1"/>
    <col min="7723" max="7723" width="14.6640625" style="38" customWidth="1"/>
    <col min="7724" max="7727" width="1" style="38" customWidth="1"/>
    <col min="7728" max="7728" width="17.88671875" style="38" customWidth="1"/>
    <col min="7729" max="7732" width="1" style="38" customWidth="1"/>
    <col min="7733" max="7733" width="17.88671875" style="38" customWidth="1"/>
    <col min="7734" max="7737" width="1" style="38" customWidth="1"/>
    <col min="7738" max="7738" width="17.88671875" style="38" customWidth="1"/>
    <col min="7739" max="7742" width="1" style="38" customWidth="1"/>
    <col min="7743" max="7743" width="17.88671875" style="38" customWidth="1"/>
    <col min="7744" max="7747" width="1" style="38" customWidth="1"/>
    <col min="7748" max="7748" width="18.6640625" style="38" bestFit="1" customWidth="1"/>
    <col min="7749" max="7752" width="1" style="38" customWidth="1"/>
    <col min="7753" max="7753" width="17.33203125" style="38" customWidth="1"/>
    <col min="7754" max="7754" width="0.6640625" style="38" customWidth="1"/>
    <col min="7755" max="7755" width="1" style="38" customWidth="1"/>
    <col min="7756" max="7810" width="0" style="38" hidden="1" customWidth="1"/>
    <col min="7811" max="7811" width="1" style="38" customWidth="1"/>
    <col min="7812" max="7812" width="1.88671875" style="38" customWidth="1"/>
    <col min="7813" max="7813" width="11.6640625" style="38" bestFit="1" customWidth="1"/>
    <col min="7814" max="7814" width="10" style="38" customWidth="1"/>
    <col min="7815" max="7815" width="10.44140625" style="38" bestFit="1" customWidth="1"/>
    <col min="7816" max="7816" width="10" style="38" customWidth="1"/>
    <col min="7817" max="7818" width="10" style="38"/>
    <col min="7819" max="7819" width="13.44140625" style="38" bestFit="1" customWidth="1"/>
    <col min="7820" max="7931" width="10" style="38"/>
    <col min="7932" max="7934" width="0" style="38" hidden="1" customWidth="1"/>
    <col min="7935" max="7935" width="64.88671875" style="38" customWidth="1"/>
    <col min="7936" max="7936" width="7" style="38" customWidth="1"/>
    <col min="7937" max="7938" width="1" style="38" customWidth="1"/>
    <col min="7939" max="7939" width="15.109375" style="38" customWidth="1"/>
    <col min="7940" max="7941" width="1" style="38" customWidth="1"/>
    <col min="7942" max="7942" width="0.88671875" style="38" customWidth="1"/>
    <col min="7943" max="7943" width="1" style="38" customWidth="1"/>
    <col min="7944" max="7944" width="17.88671875" style="38" customWidth="1"/>
    <col min="7945" max="7948" width="1" style="38" customWidth="1"/>
    <col min="7949" max="7949" width="17.88671875" style="38" customWidth="1"/>
    <col min="7950" max="7953" width="1" style="38" customWidth="1"/>
    <col min="7954" max="7954" width="17.88671875" style="38" customWidth="1"/>
    <col min="7955" max="7958" width="1" style="38" customWidth="1"/>
    <col min="7959" max="7959" width="17.88671875" style="38" customWidth="1"/>
    <col min="7960" max="7963" width="1" style="38" customWidth="1"/>
    <col min="7964" max="7964" width="17.88671875" style="38" customWidth="1"/>
    <col min="7965" max="7968" width="1" style="38" customWidth="1"/>
    <col min="7969" max="7969" width="17.88671875" style="38" customWidth="1"/>
    <col min="7970" max="7971" width="1" style="38" customWidth="1"/>
    <col min="7972" max="7972" width="1.33203125" style="38" customWidth="1"/>
    <col min="7973" max="7973" width="1" style="38" customWidth="1"/>
    <col min="7974" max="7974" width="17.88671875" style="38" customWidth="1"/>
    <col min="7975" max="7978" width="1" style="38" customWidth="1"/>
    <col min="7979" max="7979" width="14.6640625" style="38" customWidth="1"/>
    <col min="7980" max="7983" width="1" style="38" customWidth="1"/>
    <col min="7984" max="7984" width="17.88671875" style="38" customWidth="1"/>
    <col min="7985" max="7988" width="1" style="38" customWidth="1"/>
    <col min="7989" max="7989" width="17.88671875" style="38" customWidth="1"/>
    <col min="7990" max="7993" width="1" style="38" customWidth="1"/>
    <col min="7994" max="7994" width="17.88671875" style="38" customWidth="1"/>
    <col min="7995" max="7998" width="1" style="38" customWidth="1"/>
    <col min="7999" max="7999" width="17.88671875" style="38" customWidth="1"/>
    <col min="8000" max="8003" width="1" style="38" customWidth="1"/>
    <col min="8004" max="8004" width="18.6640625" style="38" bestFit="1" customWidth="1"/>
    <col min="8005" max="8008" width="1" style="38" customWidth="1"/>
    <col min="8009" max="8009" width="17.33203125" style="38" customWidth="1"/>
    <col min="8010" max="8010" width="0.6640625" style="38" customWidth="1"/>
    <col min="8011" max="8011" width="1" style="38" customWidth="1"/>
    <col min="8012" max="8066" width="0" style="38" hidden="1" customWidth="1"/>
    <col min="8067" max="8067" width="1" style="38" customWidth="1"/>
    <col min="8068" max="8068" width="1.88671875" style="38" customWidth="1"/>
    <col min="8069" max="8069" width="11.6640625" style="38" bestFit="1" customWidth="1"/>
    <col min="8070" max="8070" width="10" style="38" customWidth="1"/>
    <col min="8071" max="8071" width="10.44140625" style="38" bestFit="1" customWidth="1"/>
    <col min="8072" max="8072" width="10" style="38" customWidth="1"/>
    <col min="8073" max="8074" width="10" style="38"/>
    <col min="8075" max="8075" width="13.44140625" style="38" bestFit="1" customWidth="1"/>
    <col min="8076" max="8187" width="10" style="38"/>
    <col min="8188" max="8190" width="0" style="38" hidden="1" customWidth="1"/>
    <col min="8191" max="8191" width="64.88671875" style="38" customWidth="1"/>
    <col min="8192" max="8192" width="7" style="38" customWidth="1"/>
    <col min="8193" max="8194" width="1" style="38" customWidth="1"/>
    <col min="8195" max="8195" width="15.109375" style="38" customWidth="1"/>
    <col min="8196" max="8197" width="1" style="38" customWidth="1"/>
    <col min="8198" max="8198" width="0.88671875" style="38" customWidth="1"/>
    <col min="8199" max="8199" width="1" style="38" customWidth="1"/>
    <col min="8200" max="8200" width="17.88671875" style="38" customWidth="1"/>
    <col min="8201" max="8204" width="1" style="38" customWidth="1"/>
    <col min="8205" max="8205" width="17.88671875" style="38" customWidth="1"/>
    <col min="8206" max="8209" width="1" style="38" customWidth="1"/>
    <col min="8210" max="8210" width="17.88671875" style="38" customWidth="1"/>
    <col min="8211" max="8214" width="1" style="38" customWidth="1"/>
    <col min="8215" max="8215" width="17.88671875" style="38" customWidth="1"/>
    <col min="8216" max="8219" width="1" style="38" customWidth="1"/>
    <col min="8220" max="8220" width="17.88671875" style="38" customWidth="1"/>
    <col min="8221" max="8224" width="1" style="38" customWidth="1"/>
    <col min="8225" max="8225" width="17.88671875" style="38" customWidth="1"/>
    <col min="8226" max="8227" width="1" style="38" customWidth="1"/>
    <col min="8228" max="8228" width="1.33203125" style="38" customWidth="1"/>
    <col min="8229" max="8229" width="1" style="38" customWidth="1"/>
    <col min="8230" max="8230" width="17.88671875" style="38" customWidth="1"/>
    <col min="8231" max="8234" width="1" style="38" customWidth="1"/>
    <col min="8235" max="8235" width="14.6640625" style="38" customWidth="1"/>
    <col min="8236" max="8239" width="1" style="38" customWidth="1"/>
    <col min="8240" max="8240" width="17.88671875" style="38" customWidth="1"/>
    <col min="8241" max="8244" width="1" style="38" customWidth="1"/>
    <col min="8245" max="8245" width="17.88671875" style="38" customWidth="1"/>
    <col min="8246" max="8249" width="1" style="38" customWidth="1"/>
    <col min="8250" max="8250" width="17.88671875" style="38" customWidth="1"/>
    <col min="8251" max="8254" width="1" style="38" customWidth="1"/>
    <col min="8255" max="8255" width="17.88671875" style="38" customWidth="1"/>
    <col min="8256" max="8259" width="1" style="38" customWidth="1"/>
    <col min="8260" max="8260" width="18.6640625" style="38" bestFit="1" customWidth="1"/>
    <col min="8261" max="8264" width="1" style="38" customWidth="1"/>
    <col min="8265" max="8265" width="17.33203125" style="38" customWidth="1"/>
    <col min="8266" max="8266" width="0.6640625" style="38" customWidth="1"/>
    <col min="8267" max="8267" width="1" style="38" customWidth="1"/>
    <col min="8268" max="8322" width="0" style="38" hidden="1" customWidth="1"/>
    <col min="8323" max="8323" width="1" style="38" customWidth="1"/>
    <col min="8324" max="8324" width="1.88671875" style="38" customWidth="1"/>
    <col min="8325" max="8325" width="11.6640625" style="38" bestFit="1" customWidth="1"/>
    <col min="8326" max="8326" width="10" style="38" customWidth="1"/>
    <col min="8327" max="8327" width="10.44140625" style="38" bestFit="1" customWidth="1"/>
    <col min="8328" max="8328" width="10" style="38" customWidth="1"/>
    <col min="8329" max="8330" width="10" style="38"/>
    <col min="8331" max="8331" width="13.44140625" style="38" bestFit="1" customWidth="1"/>
    <col min="8332" max="8443" width="10" style="38"/>
    <col min="8444" max="8446" width="0" style="38" hidden="1" customWidth="1"/>
    <col min="8447" max="8447" width="64.88671875" style="38" customWidth="1"/>
    <col min="8448" max="8448" width="7" style="38" customWidth="1"/>
    <col min="8449" max="8450" width="1" style="38" customWidth="1"/>
    <col min="8451" max="8451" width="15.109375" style="38" customWidth="1"/>
    <col min="8452" max="8453" width="1" style="38" customWidth="1"/>
    <col min="8454" max="8454" width="0.88671875" style="38" customWidth="1"/>
    <col min="8455" max="8455" width="1" style="38" customWidth="1"/>
    <col min="8456" max="8456" width="17.88671875" style="38" customWidth="1"/>
    <col min="8457" max="8460" width="1" style="38" customWidth="1"/>
    <col min="8461" max="8461" width="17.88671875" style="38" customWidth="1"/>
    <col min="8462" max="8465" width="1" style="38" customWidth="1"/>
    <col min="8466" max="8466" width="17.88671875" style="38" customWidth="1"/>
    <col min="8467" max="8470" width="1" style="38" customWidth="1"/>
    <col min="8471" max="8471" width="17.88671875" style="38" customWidth="1"/>
    <col min="8472" max="8475" width="1" style="38" customWidth="1"/>
    <col min="8476" max="8476" width="17.88671875" style="38" customWidth="1"/>
    <col min="8477" max="8480" width="1" style="38" customWidth="1"/>
    <col min="8481" max="8481" width="17.88671875" style="38" customWidth="1"/>
    <col min="8482" max="8483" width="1" style="38" customWidth="1"/>
    <col min="8484" max="8484" width="1.33203125" style="38" customWidth="1"/>
    <col min="8485" max="8485" width="1" style="38" customWidth="1"/>
    <col min="8486" max="8486" width="17.88671875" style="38" customWidth="1"/>
    <col min="8487" max="8490" width="1" style="38" customWidth="1"/>
    <col min="8491" max="8491" width="14.6640625" style="38" customWidth="1"/>
    <col min="8492" max="8495" width="1" style="38" customWidth="1"/>
    <col min="8496" max="8496" width="17.88671875" style="38" customWidth="1"/>
    <col min="8497" max="8500" width="1" style="38" customWidth="1"/>
    <col min="8501" max="8501" width="17.88671875" style="38" customWidth="1"/>
    <col min="8502" max="8505" width="1" style="38" customWidth="1"/>
    <col min="8506" max="8506" width="17.88671875" style="38" customWidth="1"/>
    <col min="8507" max="8510" width="1" style="38" customWidth="1"/>
    <col min="8511" max="8511" width="17.88671875" style="38" customWidth="1"/>
    <col min="8512" max="8515" width="1" style="38" customWidth="1"/>
    <col min="8516" max="8516" width="18.6640625" style="38" bestFit="1" customWidth="1"/>
    <col min="8517" max="8520" width="1" style="38" customWidth="1"/>
    <col min="8521" max="8521" width="17.33203125" style="38" customWidth="1"/>
    <col min="8522" max="8522" width="0.6640625" style="38" customWidth="1"/>
    <col min="8523" max="8523" width="1" style="38" customWidth="1"/>
    <col min="8524" max="8578" width="0" style="38" hidden="1" customWidth="1"/>
    <col min="8579" max="8579" width="1" style="38" customWidth="1"/>
    <col min="8580" max="8580" width="1.88671875" style="38" customWidth="1"/>
    <col min="8581" max="8581" width="11.6640625" style="38" bestFit="1" customWidth="1"/>
    <col min="8582" max="8582" width="10" style="38" customWidth="1"/>
    <col min="8583" max="8583" width="10.44140625" style="38" bestFit="1" customWidth="1"/>
    <col min="8584" max="8584" width="10" style="38" customWidth="1"/>
    <col min="8585" max="8586" width="10" style="38"/>
    <col min="8587" max="8587" width="13.44140625" style="38" bestFit="1" customWidth="1"/>
    <col min="8588" max="8699" width="10" style="38"/>
    <col min="8700" max="8702" width="0" style="38" hidden="1" customWidth="1"/>
    <col min="8703" max="8703" width="64.88671875" style="38" customWidth="1"/>
    <col min="8704" max="8704" width="7" style="38" customWidth="1"/>
    <col min="8705" max="8706" width="1" style="38" customWidth="1"/>
    <col min="8707" max="8707" width="15.109375" style="38" customWidth="1"/>
    <col min="8708" max="8709" width="1" style="38" customWidth="1"/>
    <col min="8710" max="8710" width="0.88671875" style="38" customWidth="1"/>
    <col min="8711" max="8711" width="1" style="38" customWidth="1"/>
    <col min="8712" max="8712" width="17.88671875" style="38" customWidth="1"/>
    <col min="8713" max="8716" width="1" style="38" customWidth="1"/>
    <col min="8717" max="8717" width="17.88671875" style="38" customWidth="1"/>
    <col min="8718" max="8721" width="1" style="38" customWidth="1"/>
    <col min="8722" max="8722" width="17.88671875" style="38" customWidth="1"/>
    <col min="8723" max="8726" width="1" style="38" customWidth="1"/>
    <col min="8727" max="8727" width="17.88671875" style="38" customWidth="1"/>
    <col min="8728" max="8731" width="1" style="38" customWidth="1"/>
    <col min="8732" max="8732" width="17.88671875" style="38" customWidth="1"/>
    <col min="8733" max="8736" width="1" style="38" customWidth="1"/>
    <col min="8737" max="8737" width="17.88671875" style="38" customWidth="1"/>
    <col min="8738" max="8739" width="1" style="38" customWidth="1"/>
    <col min="8740" max="8740" width="1.33203125" style="38" customWidth="1"/>
    <col min="8741" max="8741" width="1" style="38" customWidth="1"/>
    <col min="8742" max="8742" width="17.88671875" style="38" customWidth="1"/>
    <col min="8743" max="8746" width="1" style="38" customWidth="1"/>
    <col min="8747" max="8747" width="14.6640625" style="38" customWidth="1"/>
    <col min="8748" max="8751" width="1" style="38" customWidth="1"/>
    <col min="8752" max="8752" width="17.88671875" style="38" customWidth="1"/>
    <col min="8753" max="8756" width="1" style="38" customWidth="1"/>
    <col min="8757" max="8757" width="17.88671875" style="38" customWidth="1"/>
    <col min="8758" max="8761" width="1" style="38" customWidth="1"/>
    <col min="8762" max="8762" width="17.88671875" style="38" customWidth="1"/>
    <col min="8763" max="8766" width="1" style="38" customWidth="1"/>
    <col min="8767" max="8767" width="17.88671875" style="38" customWidth="1"/>
    <col min="8768" max="8771" width="1" style="38" customWidth="1"/>
    <col min="8772" max="8772" width="18.6640625" style="38" bestFit="1" customWidth="1"/>
    <col min="8773" max="8776" width="1" style="38" customWidth="1"/>
    <col min="8777" max="8777" width="17.33203125" style="38" customWidth="1"/>
    <col min="8778" max="8778" width="0.6640625" style="38" customWidth="1"/>
    <col min="8779" max="8779" width="1" style="38" customWidth="1"/>
    <col min="8780" max="8834" width="0" style="38" hidden="1" customWidth="1"/>
    <col min="8835" max="8835" width="1" style="38" customWidth="1"/>
    <col min="8836" max="8836" width="1.88671875" style="38" customWidth="1"/>
    <col min="8837" max="8837" width="11.6640625" style="38" bestFit="1" customWidth="1"/>
    <col min="8838" max="8838" width="10" style="38" customWidth="1"/>
    <col min="8839" max="8839" width="10.44140625" style="38" bestFit="1" customWidth="1"/>
    <col min="8840" max="8840" width="10" style="38" customWidth="1"/>
    <col min="8841" max="8842" width="10" style="38"/>
    <col min="8843" max="8843" width="13.44140625" style="38" bestFit="1" customWidth="1"/>
    <col min="8844" max="8955" width="10" style="38"/>
    <col min="8956" max="8958" width="0" style="38" hidden="1" customWidth="1"/>
    <col min="8959" max="8959" width="64.88671875" style="38" customWidth="1"/>
    <col min="8960" max="8960" width="7" style="38" customWidth="1"/>
    <col min="8961" max="8962" width="1" style="38" customWidth="1"/>
    <col min="8963" max="8963" width="15.109375" style="38" customWidth="1"/>
    <col min="8964" max="8965" width="1" style="38" customWidth="1"/>
    <col min="8966" max="8966" width="0.88671875" style="38" customWidth="1"/>
    <col min="8967" max="8967" width="1" style="38" customWidth="1"/>
    <col min="8968" max="8968" width="17.88671875" style="38" customWidth="1"/>
    <col min="8969" max="8972" width="1" style="38" customWidth="1"/>
    <col min="8973" max="8973" width="17.88671875" style="38" customWidth="1"/>
    <col min="8974" max="8977" width="1" style="38" customWidth="1"/>
    <col min="8978" max="8978" width="17.88671875" style="38" customWidth="1"/>
    <col min="8979" max="8982" width="1" style="38" customWidth="1"/>
    <col min="8983" max="8983" width="17.88671875" style="38" customWidth="1"/>
    <col min="8984" max="8987" width="1" style="38" customWidth="1"/>
    <col min="8988" max="8988" width="17.88671875" style="38" customWidth="1"/>
    <col min="8989" max="8992" width="1" style="38" customWidth="1"/>
    <col min="8993" max="8993" width="17.88671875" style="38" customWidth="1"/>
    <col min="8994" max="8995" width="1" style="38" customWidth="1"/>
    <col min="8996" max="8996" width="1.33203125" style="38" customWidth="1"/>
    <col min="8997" max="8997" width="1" style="38" customWidth="1"/>
    <col min="8998" max="8998" width="17.88671875" style="38" customWidth="1"/>
    <col min="8999" max="9002" width="1" style="38" customWidth="1"/>
    <col min="9003" max="9003" width="14.6640625" style="38" customWidth="1"/>
    <col min="9004" max="9007" width="1" style="38" customWidth="1"/>
    <col min="9008" max="9008" width="17.88671875" style="38" customWidth="1"/>
    <col min="9009" max="9012" width="1" style="38" customWidth="1"/>
    <col min="9013" max="9013" width="17.88671875" style="38" customWidth="1"/>
    <col min="9014" max="9017" width="1" style="38" customWidth="1"/>
    <col min="9018" max="9018" width="17.88671875" style="38" customWidth="1"/>
    <col min="9019" max="9022" width="1" style="38" customWidth="1"/>
    <col min="9023" max="9023" width="17.88671875" style="38" customWidth="1"/>
    <col min="9024" max="9027" width="1" style="38" customWidth="1"/>
    <col min="9028" max="9028" width="18.6640625" style="38" bestFit="1" customWidth="1"/>
    <col min="9029" max="9032" width="1" style="38" customWidth="1"/>
    <col min="9033" max="9033" width="17.33203125" style="38" customWidth="1"/>
    <col min="9034" max="9034" width="0.6640625" style="38" customWidth="1"/>
    <col min="9035" max="9035" width="1" style="38" customWidth="1"/>
    <col min="9036" max="9090" width="0" style="38" hidden="1" customWidth="1"/>
    <col min="9091" max="9091" width="1" style="38" customWidth="1"/>
    <col min="9092" max="9092" width="1.88671875" style="38" customWidth="1"/>
    <col min="9093" max="9093" width="11.6640625" style="38" bestFit="1" customWidth="1"/>
    <col min="9094" max="9094" width="10" style="38" customWidth="1"/>
    <col min="9095" max="9095" width="10.44140625" style="38" bestFit="1" customWidth="1"/>
    <col min="9096" max="9096" width="10" style="38" customWidth="1"/>
    <col min="9097" max="9098" width="10" style="38"/>
    <col min="9099" max="9099" width="13.44140625" style="38" bestFit="1" customWidth="1"/>
    <col min="9100" max="9211" width="10" style="38"/>
    <col min="9212" max="9214" width="0" style="38" hidden="1" customWidth="1"/>
    <col min="9215" max="9215" width="64.88671875" style="38" customWidth="1"/>
    <col min="9216" max="9216" width="7" style="38" customWidth="1"/>
    <col min="9217" max="9218" width="1" style="38" customWidth="1"/>
    <col min="9219" max="9219" width="15.109375" style="38" customWidth="1"/>
    <col min="9220" max="9221" width="1" style="38" customWidth="1"/>
    <col min="9222" max="9222" width="0.88671875" style="38" customWidth="1"/>
    <col min="9223" max="9223" width="1" style="38" customWidth="1"/>
    <col min="9224" max="9224" width="17.88671875" style="38" customWidth="1"/>
    <col min="9225" max="9228" width="1" style="38" customWidth="1"/>
    <col min="9229" max="9229" width="17.88671875" style="38" customWidth="1"/>
    <col min="9230" max="9233" width="1" style="38" customWidth="1"/>
    <col min="9234" max="9234" width="17.88671875" style="38" customWidth="1"/>
    <col min="9235" max="9238" width="1" style="38" customWidth="1"/>
    <col min="9239" max="9239" width="17.88671875" style="38" customWidth="1"/>
    <col min="9240" max="9243" width="1" style="38" customWidth="1"/>
    <col min="9244" max="9244" width="17.88671875" style="38" customWidth="1"/>
    <col min="9245" max="9248" width="1" style="38" customWidth="1"/>
    <col min="9249" max="9249" width="17.88671875" style="38" customWidth="1"/>
    <col min="9250" max="9251" width="1" style="38" customWidth="1"/>
    <col min="9252" max="9252" width="1.33203125" style="38" customWidth="1"/>
    <col min="9253" max="9253" width="1" style="38" customWidth="1"/>
    <col min="9254" max="9254" width="17.88671875" style="38" customWidth="1"/>
    <col min="9255" max="9258" width="1" style="38" customWidth="1"/>
    <col min="9259" max="9259" width="14.6640625" style="38" customWidth="1"/>
    <col min="9260" max="9263" width="1" style="38" customWidth="1"/>
    <col min="9264" max="9264" width="17.88671875" style="38" customWidth="1"/>
    <col min="9265" max="9268" width="1" style="38" customWidth="1"/>
    <col min="9269" max="9269" width="17.88671875" style="38" customWidth="1"/>
    <col min="9270" max="9273" width="1" style="38" customWidth="1"/>
    <col min="9274" max="9274" width="17.88671875" style="38" customWidth="1"/>
    <col min="9275" max="9278" width="1" style="38" customWidth="1"/>
    <col min="9279" max="9279" width="17.88671875" style="38" customWidth="1"/>
    <col min="9280" max="9283" width="1" style="38" customWidth="1"/>
    <col min="9284" max="9284" width="18.6640625" style="38" bestFit="1" customWidth="1"/>
    <col min="9285" max="9288" width="1" style="38" customWidth="1"/>
    <col min="9289" max="9289" width="17.33203125" style="38" customWidth="1"/>
    <col min="9290" max="9290" width="0.6640625" style="38" customWidth="1"/>
    <col min="9291" max="9291" width="1" style="38" customWidth="1"/>
    <col min="9292" max="9346" width="0" style="38" hidden="1" customWidth="1"/>
    <col min="9347" max="9347" width="1" style="38" customWidth="1"/>
    <col min="9348" max="9348" width="1.88671875" style="38" customWidth="1"/>
    <col min="9349" max="9349" width="11.6640625" style="38" bestFit="1" customWidth="1"/>
    <col min="9350" max="9350" width="10" style="38" customWidth="1"/>
    <col min="9351" max="9351" width="10.44140625" style="38" bestFit="1" customWidth="1"/>
    <col min="9352" max="9352" width="10" style="38" customWidth="1"/>
    <col min="9353" max="9354" width="10" style="38"/>
    <col min="9355" max="9355" width="13.44140625" style="38" bestFit="1" customWidth="1"/>
    <col min="9356" max="9467" width="10" style="38"/>
    <col min="9468" max="9470" width="0" style="38" hidden="1" customWidth="1"/>
    <col min="9471" max="9471" width="64.88671875" style="38" customWidth="1"/>
    <col min="9472" max="9472" width="7" style="38" customWidth="1"/>
    <col min="9473" max="9474" width="1" style="38" customWidth="1"/>
    <col min="9475" max="9475" width="15.109375" style="38" customWidth="1"/>
    <col min="9476" max="9477" width="1" style="38" customWidth="1"/>
    <col min="9478" max="9478" width="0.88671875" style="38" customWidth="1"/>
    <col min="9479" max="9479" width="1" style="38" customWidth="1"/>
    <col min="9480" max="9480" width="17.88671875" style="38" customWidth="1"/>
    <col min="9481" max="9484" width="1" style="38" customWidth="1"/>
    <col min="9485" max="9485" width="17.88671875" style="38" customWidth="1"/>
    <col min="9486" max="9489" width="1" style="38" customWidth="1"/>
    <col min="9490" max="9490" width="17.88671875" style="38" customWidth="1"/>
    <col min="9491" max="9494" width="1" style="38" customWidth="1"/>
    <col min="9495" max="9495" width="17.88671875" style="38" customWidth="1"/>
    <col min="9496" max="9499" width="1" style="38" customWidth="1"/>
    <col min="9500" max="9500" width="17.88671875" style="38" customWidth="1"/>
    <col min="9501" max="9504" width="1" style="38" customWidth="1"/>
    <col min="9505" max="9505" width="17.88671875" style="38" customWidth="1"/>
    <col min="9506" max="9507" width="1" style="38" customWidth="1"/>
    <col min="9508" max="9508" width="1.33203125" style="38" customWidth="1"/>
    <col min="9509" max="9509" width="1" style="38" customWidth="1"/>
    <col min="9510" max="9510" width="17.88671875" style="38" customWidth="1"/>
    <col min="9511" max="9514" width="1" style="38" customWidth="1"/>
    <col min="9515" max="9515" width="14.6640625" style="38" customWidth="1"/>
    <col min="9516" max="9519" width="1" style="38" customWidth="1"/>
    <col min="9520" max="9520" width="17.88671875" style="38" customWidth="1"/>
    <col min="9521" max="9524" width="1" style="38" customWidth="1"/>
    <col min="9525" max="9525" width="17.88671875" style="38" customWidth="1"/>
    <col min="9526" max="9529" width="1" style="38" customWidth="1"/>
    <col min="9530" max="9530" width="17.88671875" style="38" customWidth="1"/>
    <col min="9531" max="9534" width="1" style="38" customWidth="1"/>
    <col min="9535" max="9535" width="17.88671875" style="38" customWidth="1"/>
    <col min="9536" max="9539" width="1" style="38" customWidth="1"/>
    <col min="9540" max="9540" width="18.6640625" style="38" bestFit="1" customWidth="1"/>
    <col min="9541" max="9544" width="1" style="38" customWidth="1"/>
    <col min="9545" max="9545" width="17.33203125" style="38" customWidth="1"/>
    <col min="9546" max="9546" width="0.6640625" style="38" customWidth="1"/>
    <col min="9547" max="9547" width="1" style="38" customWidth="1"/>
    <col min="9548" max="9602" width="0" style="38" hidden="1" customWidth="1"/>
    <col min="9603" max="9603" width="1" style="38" customWidth="1"/>
    <col min="9604" max="9604" width="1.88671875" style="38" customWidth="1"/>
    <col min="9605" max="9605" width="11.6640625" style="38" bestFit="1" customWidth="1"/>
    <col min="9606" max="9606" width="10" style="38" customWidth="1"/>
    <col min="9607" max="9607" width="10.44140625" style="38" bestFit="1" customWidth="1"/>
    <col min="9608" max="9608" width="10" style="38" customWidth="1"/>
    <col min="9609" max="9610" width="10" style="38"/>
    <col min="9611" max="9611" width="13.44140625" style="38" bestFit="1" customWidth="1"/>
    <col min="9612" max="9723" width="10" style="38"/>
    <col min="9724" max="9726" width="0" style="38" hidden="1" customWidth="1"/>
    <col min="9727" max="9727" width="64.88671875" style="38" customWidth="1"/>
    <col min="9728" max="9728" width="7" style="38" customWidth="1"/>
    <col min="9729" max="9730" width="1" style="38" customWidth="1"/>
    <col min="9731" max="9731" width="15.109375" style="38" customWidth="1"/>
    <col min="9732" max="9733" width="1" style="38" customWidth="1"/>
    <col min="9734" max="9734" width="0.88671875" style="38" customWidth="1"/>
    <col min="9735" max="9735" width="1" style="38" customWidth="1"/>
    <col min="9736" max="9736" width="17.88671875" style="38" customWidth="1"/>
    <col min="9737" max="9740" width="1" style="38" customWidth="1"/>
    <col min="9741" max="9741" width="17.88671875" style="38" customWidth="1"/>
    <col min="9742" max="9745" width="1" style="38" customWidth="1"/>
    <col min="9746" max="9746" width="17.88671875" style="38" customWidth="1"/>
    <col min="9747" max="9750" width="1" style="38" customWidth="1"/>
    <col min="9751" max="9751" width="17.88671875" style="38" customWidth="1"/>
    <col min="9752" max="9755" width="1" style="38" customWidth="1"/>
    <col min="9756" max="9756" width="17.88671875" style="38" customWidth="1"/>
    <col min="9757" max="9760" width="1" style="38" customWidth="1"/>
    <col min="9761" max="9761" width="17.88671875" style="38" customWidth="1"/>
    <col min="9762" max="9763" width="1" style="38" customWidth="1"/>
    <col min="9764" max="9764" width="1.33203125" style="38" customWidth="1"/>
    <col min="9765" max="9765" width="1" style="38" customWidth="1"/>
    <col min="9766" max="9766" width="17.88671875" style="38" customWidth="1"/>
    <col min="9767" max="9770" width="1" style="38" customWidth="1"/>
    <col min="9771" max="9771" width="14.6640625" style="38" customWidth="1"/>
    <col min="9772" max="9775" width="1" style="38" customWidth="1"/>
    <col min="9776" max="9776" width="17.88671875" style="38" customWidth="1"/>
    <col min="9777" max="9780" width="1" style="38" customWidth="1"/>
    <col min="9781" max="9781" width="17.88671875" style="38" customWidth="1"/>
    <col min="9782" max="9785" width="1" style="38" customWidth="1"/>
    <col min="9786" max="9786" width="17.88671875" style="38" customWidth="1"/>
    <col min="9787" max="9790" width="1" style="38" customWidth="1"/>
    <col min="9791" max="9791" width="17.88671875" style="38" customWidth="1"/>
    <col min="9792" max="9795" width="1" style="38" customWidth="1"/>
    <col min="9796" max="9796" width="18.6640625" style="38" bestFit="1" customWidth="1"/>
    <col min="9797" max="9800" width="1" style="38" customWidth="1"/>
    <col min="9801" max="9801" width="17.33203125" style="38" customWidth="1"/>
    <col min="9802" max="9802" width="0.6640625" style="38" customWidth="1"/>
    <col min="9803" max="9803" width="1" style="38" customWidth="1"/>
    <col min="9804" max="9858" width="0" style="38" hidden="1" customWidth="1"/>
    <col min="9859" max="9859" width="1" style="38" customWidth="1"/>
    <col min="9860" max="9860" width="1.88671875" style="38" customWidth="1"/>
    <col min="9861" max="9861" width="11.6640625" style="38" bestFit="1" customWidth="1"/>
    <col min="9862" max="9862" width="10" style="38" customWidth="1"/>
    <col min="9863" max="9863" width="10.44140625" style="38" bestFit="1" customWidth="1"/>
    <col min="9864" max="9864" width="10" style="38" customWidth="1"/>
    <col min="9865" max="9866" width="10" style="38"/>
    <col min="9867" max="9867" width="13.44140625" style="38" bestFit="1" customWidth="1"/>
    <col min="9868" max="9979" width="10" style="38"/>
    <col min="9980" max="9982" width="0" style="38" hidden="1" customWidth="1"/>
    <col min="9983" max="9983" width="64.88671875" style="38" customWidth="1"/>
    <col min="9984" max="9984" width="7" style="38" customWidth="1"/>
    <col min="9985" max="9986" width="1" style="38" customWidth="1"/>
    <col min="9987" max="9987" width="15.109375" style="38" customWidth="1"/>
    <col min="9988" max="9989" width="1" style="38" customWidth="1"/>
    <col min="9990" max="9990" width="0.88671875" style="38" customWidth="1"/>
    <col min="9991" max="9991" width="1" style="38" customWidth="1"/>
    <col min="9992" max="9992" width="17.88671875" style="38" customWidth="1"/>
    <col min="9993" max="9996" width="1" style="38" customWidth="1"/>
    <col min="9997" max="9997" width="17.88671875" style="38" customWidth="1"/>
    <col min="9998" max="10001" width="1" style="38" customWidth="1"/>
    <col min="10002" max="10002" width="17.88671875" style="38" customWidth="1"/>
    <col min="10003" max="10006" width="1" style="38" customWidth="1"/>
    <col min="10007" max="10007" width="17.88671875" style="38" customWidth="1"/>
    <col min="10008" max="10011" width="1" style="38" customWidth="1"/>
    <col min="10012" max="10012" width="17.88671875" style="38" customWidth="1"/>
    <col min="10013" max="10016" width="1" style="38" customWidth="1"/>
    <col min="10017" max="10017" width="17.88671875" style="38" customWidth="1"/>
    <col min="10018" max="10019" width="1" style="38" customWidth="1"/>
    <col min="10020" max="10020" width="1.33203125" style="38" customWidth="1"/>
    <col min="10021" max="10021" width="1" style="38" customWidth="1"/>
    <col min="10022" max="10022" width="17.88671875" style="38" customWidth="1"/>
    <col min="10023" max="10026" width="1" style="38" customWidth="1"/>
    <col min="10027" max="10027" width="14.6640625" style="38" customWidth="1"/>
    <col min="10028" max="10031" width="1" style="38" customWidth="1"/>
    <col min="10032" max="10032" width="17.88671875" style="38" customWidth="1"/>
    <col min="10033" max="10036" width="1" style="38" customWidth="1"/>
    <col min="10037" max="10037" width="17.88671875" style="38" customWidth="1"/>
    <col min="10038" max="10041" width="1" style="38" customWidth="1"/>
    <col min="10042" max="10042" width="17.88671875" style="38" customWidth="1"/>
    <col min="10043" max="10046" width="1" style="38" customWidth="1"/>
    <col min="10047" max="10047" width="17.88671875" style="38" customWidth="1"/>
    <col min="10048" max="10051" width="1" style="38" customWidth="1"/>
    <col min="10052" max="10052" width="18.6640625" style="38" bestFit="1" customWidth="1"/>
    <col min="10053" max="10056" width="1" style="38" customWidth="1"/>
    <col min="10057" max="10057" width="17.33203125" style="38" customWidth="1"/>
    <col min="10058" max="10058" width="0.6640625" style="38" customWidth="1"/>
    <col min="10059" max="10059" width="1" style="38" customWidth="1"/>
    <col min="10060" max="10114" width="0" style="38" hidden="1" customWidth="1"/>
    <col min="10115" max="10115" width="1" style="38" customWidth="1"/>
    <col min="10116" max="10116" width="1.88671875" style="38" customWidth="1"/>
    <col min="10117" max="10117" width="11.6640625" style="38" bestFit="1" customWidth="1"/>
    <col min="10118" max="10118" width="10" style="38" customWidth="1"/>
    <col min="10119" max="10119" width="10.44140625" style="38" bestFit="1" customWidth="1"/>
    <col min="10120" max="10120" width="10" style="38" customWidth="1"/>
    <col min="10121" max="10122" width="10" style="38"/>
    <col min="10123" max="10123" width="13.44140625" style="38" bestFit="1" customWidth="1"/>
    <col min="10124" max="10235" width="10" style="38"/>
    <col min="10236" max="10238" width="0" style="38" hidden="1" customWidth="1"/>
    <col min="10239" max="10239" width="64.88671875" style="38" customWidth="1"/>
    <col min="10240" max="10240" width="7" style="38" customWidth="1"/>
    <col min="10241" max="10242" width="1" style="38" customWidth="1"/>
    <col min="10243" max="10243" width="15.109375" style="38" customWidth="1"/>
    <col min="10244" max="10245" width="1" style="38" customWidth="1"/>
    <col min="10246" max="10246" width="0.88671875" style="38" customWidth="1"/>
    <col min="10247" max="10247" width="1" style="38" customWidth="1"/>
    <col min="10248" max="10248" width="17.88671875" style="38" customWidth="1"/>
    <col min="10249" max="10252" width="1" style="38" customWidth="1"/>
    <col min="10253" max="10253" width="17.88671875" style="38" customWidth="1"/>
    <col min="10254" max="10257" width="1" style="38" customWidth="1"/>
    <col min="10258" max="10258" width="17.88671875" style="38" customWidth="1"/>
    <col min="10259" max="10262" width="1" style="38" customWidth="1"/>
    <col min="10263" max="10263" width="17.88671875" style="38" customWidth="1"/>
    <col min="10264" max="10267" width="1" style="38" customWidth="1"/>
    <col min="10268" max="10268" width="17.88671875" style="38" customWidth="1"/>
    <col min="10269" max="10272" width="1" style="38" customWidth="1"/>
    <col min="10273" max="10273" width="17.88671875" style="38" customWidth="1"/>
    <col min="10274" max="10275" width="1" style="38" customWidth="1"/>
    <col min="10276" max="10276" width="1.33203125" style="38" customWidth="1"/>
    <col min="10277" max="10277" width="1" style="38" customWidth="1"/>
    <col min="10278" max="10278" width="17.88671875" style="38" customWidth="1"/>
    <col min="10279" max="10282" width="1" style="38" customWidth="1"/>
    <col min="10283" max="10283" width="14.6640625" style="38" customWidth="1"/>
    <col min="10284" max="10287" width="1" style="38" customWidth="1"/>
    <col min="10288" max="10288" width="17.88671875" style="38" customWidth="1"/>
    <col min="10289" max="10292" width="1" style="38" customWidth="1"/>
    <col min="10293" max="10293" width="17.88671875" style="38" customWidth="1"/>
    <col min="10294" max="10297" width="1" style="38" customWidth="1"/>
    <col min="10298" max="10298" width="17.88671875" style="38" customWidth="1"/>
    <col min="10299" max="10302" width="1" style="38" customWidth="1"/>
    <col min="10303" max="10303" width="17.88671875" style="38" customWidth="1"/>
    <col min="10304" max="10307" width="1" style="38" customWidth="1"/>
    <col min="10308" max="10308" width="18.6640625" style="38" bestFit="1" customWidth="1"/>
    <col min="10309" max="10312" width="1" style="38" customWidth="1"/>
    <col min="10313" max="10313" width="17.33203125" style="38" customWidth="1"/>
    <col min="10314" max="10314" width="0.6640625" style="38" customWidth="1"/>
    <col min="10315" max="10315" width="1" style="38" customWidth="1"/>
    <col min="10316" max="10370" width="0" style="38" hidden="1" customWidth="1"/>
    <col min="10371" max="10371" width="1" style="38" customWidth="1"/>
    <col min="10372" max="10372" width="1.88671875" style="38" customWidth="1"/>
    <col min="10373" max="10373" width="11.6640625" style="38" bestFit="1" customWidth="1"/>
    <col min="10374" max="10374" width="10" style="38" customWidth="1"/>
    <col min="10375" max="10375" width="10.44140625" style="38" bestFit="1" customWidth="1"/>
    <col min="10376" max="10376" width="10" style="38" customWidth="1"/>
    <col min="10377" max="10378" width="10" style="38"/>
    <col min="10379" max="10379" width="13.44140625" style="38" bestFit="1" customWidth="1"/>
    <col min="10380" max="10491" width="10" style="38"/>
    <col min="10492" max="10494" width="0" style="38" hidden="1" customWidth="1"/>
    <col min="10495" max="10495" width="64.88671875" style="38" customWidth="1"/>
    <col min="10496" max="10496" width="7" style="38" customWidth="1"/>
    <col min="10497" max="10498" width="1" style="38" customWidth="1"/>
    <col min="10499" max="10499" width="15.109375" style="38" customWidth="1"/>
    <col min="10500" max="10501" width="1" style="38" customWidth="1"/>
    <col min="10502" max="10502" width="0.88671875" style="38" customWidth="1"/>
    <col min="10503" max="10503" width="1" style="38" customWidth="1"/>
    <col min="10504" max="10504" width="17.88671875" style="38" customWidth="1"/>
    <col min="10505" max="10508" width="1" style="38" customWidth="1"/>
    <col min="10509" max="10509" width="17.88671875" style="38" customWidth="1"/>
    <col min="10510" max="10513" width="1" style="38" customWidth="1"/>
    <col min="10514" max="10514" width="17.88671875" style="38" customWidth="1"/>
    <col min="10515" max="10518" width="1" style="38" customWidth="1"/>
    <col min="10519" max="10519" width="17.88671875" style="38" customWidth="1"/>
    <col min="10520" max="10523" width="1" style="38" customWidth="1"/>
    <col min="10524" max="10524" width="17.88671875" style="38" customWidth="1"/>
    <col min="10525" max="10528" width="1" style="38" customWidth="1"/>
    <col min="10529" max="10529" width="17.88671875" style="38" customWidth="1"/>
    <col min="10530" max="10531" width="1" style="38" customWidth="1"/>
    <col min="10532" max="10532" width="1.33203125" style="38" customWidth="1"/>
    <col min="10533" max="10533" width="1" style="38" customWidth="1"/>
    <col min="10534" max="10534" width="17.88671875" style="38" customWidth="1"/>
    <col min="10535" max="10538" width="1" style="38" customWidth="1"/>
    <col min="10539" max="10539" width="14.6640625" style="38" customWidth="1"/>
    <col min="10540" max="10543" width="1" style="38" customWidth="1"/>
    <col min="10544" max="10544" width="17.88671875" style="38" customWidth="1"/>
    <col min="10545" max="10548" width="1" style="38" customWidth="1"/>
    <col min="10549" max="10549" width="17.88671875" style="38" customWidth="1"/>
    <col min="10550" max="10553" width="1" style="38" customWidth="1"/>
    <col min="10554" max="10554" width="17.88671875" style="38" customWidth="1"/>
    <col min="10555" max="10558" width="1" style="38" customWidth="1"/>
    <col min="10559" max="10559" width="17.88671875" style="38" customWidth="1"/>
    <col min="10560" max="10563" width="1" style="38" customWidth="1"/>
    <col min="10564" max="10564" width="18.6640625" style="38" bestFit="1" customWidth="1"/>
    <col min="10565" max="10568" width="1" style="38" customWidth="1"/>
    <col min="10569" max="10569" width="17.33203125" style="38" customWidth="1"/>
    <col min="10570" max="10570" width="0.6640625" style="38" customWidth="1"/>
    <col min="10571" max="10571" width="1" style="38" customWidth="1"/>
    <col min="10572" max="10626" width="0" style="38" hidden="1" customWidth="1"/>
    <col min="10627" max="10627" width="1" style="38" customWidth="1"/>
    <col min="10628" max="10628" width="1.88671875" style="38" customWidth="1"/>
    <col min="10629" max="10629" width="11.6640625" style="38" bestFit="1" customWidth="1"/>
    <col min="10630" max="10630" width="10" style="38" customWidth="1"/>
    <col min="10631" max="10631" width="10.44140625" style="38" bestFit="1" customWidth="1"/>
    <col min="10632" max="10632" width="10" style="38" customWidth="1"/>
    <col min="10633" max="10634" width="10" style="38"/>
    <col min="10635" max="10635" width="13.44140625" style="38" bestFit="1" customWidth="1"/>
    <col min="10636" max="10747" width="10" style="38"/>
    <col min="10748" max="10750" width="0" style="38" hidden="1" customWidth="1"/>
    <col min="10751" max="10751" width="64.88671875" style="38" customWidth="1"/>
    <col min="10752" max="10752" width="7" style="38" customWidth="1"/>
    <col min="10753" max="10754" width="1" style="38" customWidth="1"/>
    <col min="10755" max="10755" width="15.109375" style="38" customWidth="1"/>
    <col min="10756" max="10757" width="1" style="38" customWidth="1"/>
    <col min="10758" max="10758" width="0.88671875" style="38" customWidth="1"/>
    <col min="10759" max="10759" width="1" style="38" customWidth="1"/>
    <col min="10760" max="10760" width="17.88671875" style="38" customWidth="1"/>
    <col min="10761" max="10764" width="1" style="38" customWidth="1"/>
    <col min="10765" max="10765" width="17.88671875" style="38" customWidth="1"/>
    <col min="10766" max="10769" width="1" style="38" customWidth="1"/>
    <col min="10770" max="10770" width="17.88671875" style="38" customWidth="1"/>
    <col min="10771" max="10774" width="1" style="38" customWidth="1"/>
    <col min="10775" max="10775" width="17.88671875" style="38" customWidth="1"/>
    <col min="10776" max="10779" width="1" style="38" customWidth="1"/>
    <col min="10780" max="10780" width="17.88671875" style="38" customWidth="1"/>
    <col min="10781" max="10784" width="1" style="38" customWidth="1"/>
    <col min="10785" max="10785" width="17.88671875" style="38" customWidth="1"/>
    <col min="10786" max="10787" width="1" style="38" customWidth="1"/>
    <col min="10788" max="10788" width="1.33203125" style="38" customWidth="1"/>
    <col min="10789" max="10789" width="1" style="38" customWidth="1"/>
    <col min="10790" max="10790" width="17.88671875" style="38" customWidth="1"/>
    <col min="10791" max="10794" width="1" style="38" customWidth="1"/>
    <col min="10795" max="10795" width="14.6640625" style="38" customWidth="1"/>
    <col min="10796" max="10799" width="1" style="38" customWidth="1"/>
    <col min="10800" max="10800" width="17.88671875" style="38" customWidth="1"/>
    <col min="10801" max="10804" width="1" style="38" customWidth="1"/>
    <col min="10805" max="10805" width="17.88671875" style="38" customWidth="1"/>
    <col min="10806" max="10809" width="1" style="38" customWidth="1"/>
    <col min="10810" max="10810" width="17.88671875" style="38" customWidth="1"/>
    <col min="10811" max="10814" width="1" style="38" customWidth="1"/>
    <col min="10815" max="10815" width="17.88671875" style="38" customWidth="1"/>
    <col min="10816" max="10819" width="1" style="38" customWidth="1"/>
    <col min="10820" max="10820" width="18.6640625" style="38" bestFit="1" customWidth="1"/>
    <col min="10821" max="10824" width="1" style="38" customWidth="1"/>
    <col min="10825" max="10825" width="17.33203125" style="38" customWidth="1"/>
    <col min="10826" max="10826" width="0.6640625" style="38" customWidth="1"/>
    <col min="10827" max="10827" width="1" style="38" customWidth="1"/>
    <col min="10828" max="10882" width="0" style="38" hidden="1" customWidth="1"/>
    <col min="10883" max="10883" width="1" style="38" customWidth="1"/>
    <col min="10884" max="10884" width="1.88671875" style="38" customWidth="1"/>
    <col min="10885" max="10885" width="11.6640625" style="38" bestFit="1" customWidth="1"/>
    <col min="10886" max="10886" width="10" style="38" customWidth="1"/>
    <col min="10887" max="10887" width="10.44140625" style="38" bestFit="1" customWidth="1"/>
    <col min="10888" max="10888" width="10" style="38" customWidth="1"/>
    <col min="10889" max="10890" width="10" style="38"/>
    <col min="10891" max="10891" width="13.44140625" style="38" bestFit="1" customWidth="1"/>
    <col min="10892" max="11003" width="10" style="38"/>
    <col min="11004" max="11006" width="0" style="38" hidden="1" customWidth="1"/>
    <col min="11007" max="11007" width="64.88671875" style="38" customWidth="1"/>
    <col min="11008" max="11008" width="7" style="38" customWidth="1"/>
    <col min="11009" max="11010" width="1" style="38" customWidth="1"/>
    <col min="11011" max="11011" width="15.109375" style="38" customWidth="1"/>
    <col min="11012" max="11013" width="1" style="38" customWidth="1"/>
    <col min="11014" max="11014" width="0.88671875" style="38" customWidth="1"/>
    <col min="11015" max="11015" width="1" style="38" customWidth="1"/>
    <col min="11016" max="11016" width="17.88671875" style="38" customWidth="1"/>
    <col min="11017" max="11020" width="1" style="38" customWidth="1"/>
    <col min="11021" max="11021" width="17.88671875" style="38" customWidth="1"/>
    <col min="11022" max="11025" width="1" style="38" customWidth="1"/>
    <col min="11026" max="11026" width="17.88671875" style="38" customWidth="1"/>
    <col min="11027" max="11030" width="1" style="38" customWidth="1"/>
    <col min="11031" max="11031" width="17.88671875" style="38" customWidth="1"/>
    <col min="11032" max="11035" width="1" style="38" customWidth="1"/>
    <col min="11036" max="11036" width="17.88671875" style="38" customWidth="1"/>
    <col min="11037" max="11040" width="1" style="38" customWidth="1"/>
    <col min="11041" max="11041" width="17.88671875" style="38" customWidth="1"/>
    <col min="11042" max="11043" width="1" style="38" customWidth="1"/>
    <col min="11044" max="11044" width="1.33203125" style="38" customWidth="1"/>
    <col min="11045" max="11045" width="1" style="38" customWidth="1"/>
    <col min="11046" max="11046" width="17.88671875" style="38" customWidth="1"/>
    <col min="11047" max="11050" width="1" style="38" customWidth="1"/>
    <col min="11051" max="11051" width="14.6640625" style="38" customWidth="1"/>
    <col min="11052" max="11055" width="1" style="38" customWidth="1"/>
    <col min="11056" max="11056" width="17.88671875" style="38" customWidth="1"/>
    <col min="11057" max="11060" width="1" style="38" customWidth="1"/>
    <col min="11061" max="11061" width="17.88671875" style="38" customWidth="1"/>
    <col min="11062" max="11065" width="1" style="38" customWidth="1"/>
    <col min="11066" max="11066" width="17.88671875" style="38" customWidth="1"/>
    <col min="11067" max="11070" width="1" style="38" customWidth="1"/>
    <col min="11071" max="11071" width="17.88671875" style="38" customWidth="1"/>
    <col min="11072" max="11075" width="1" style="38" customWidth="1"/>
    <col min="11076" max="11076" width="18.6640625" style="38" bestFit="1" customWidth="1"/>
    <col min="11077" max="11080" width="1" style="38" customWidth="1"/>
    <col min="11081" max="11081" width="17.33203125" style="38" customWidth="1"/>
    <col min="11082" max="11082" width="0.6640625" style="38" customWidth="1"/>
    <col min="11083" max="11083" width="1" style="38" customWidth="1"/>
    <col min="11084" max="11138" width="0" style="38" hidden="1" customWidth="1"/>
    <col min="11139" max="11139" width="1" style="38" customWidth="1"/>
    <col min="11140" max="11140" width="1.88671875" style="38" customWidth="1"/>
    <col min="11141" max="11141" width="11.6640625" style="38" bestFit="1" customWidth="1"/>
    <col min="11142" max="11142" width="10" style="38" customWidth="1"/>
    <col min="11143" max="11143" width="10.44140625" style="38" bestFit="1" customWidth="1"/>
    <col min="11144" max="11144" width="10" style="38" customWidth="1"/>
    <col min="11145" max="11146" width="10" style="38"/>
    <col min="11147" max="11147" width="13.44140625" style="38" bestFit="1" customWidth="1"/>
    <col min="11148" max="11259" width="10" style="38"/>
    <col min="11260" max="11262" width="0" style="38" hidden="1" customWidth="1"/>
    <col min="11263" max="11263" width="64.88671875" style="38" customWidth="1"/>
    <col min="11264" max="11264" width="7" style="38" customWidth="1"/>
    <col min="11265" max="11266" width="1" style="38" customWidth="1"/>
    <col min="11267" max="11267" width="15.109375" style="38" customWidth="1"/>
    <col min="11268" max="11269" width="1" style="38" customWidth="1"/>
    <col min="11270" max="11270" width="0.88671875" style="38" customWidth="1"/>
    <col min="11271" max="11271" width="1" style="38" customWidth="1"/>
    <col min="11272" max="11272" width="17.88671875" style="38" customWidth="1"/>
    <col min="11273" max="11276" width="1" style="38" customWidth="1"/>
    <col min="11277" max="11277" width="17.88671875" style="38" customWidth="1"/>
    <col min="11278" max="11281" width="1" style="38" customWidth="1"/>
    <col min="11282" max="11282" width="17.88671875" style="38" customWidth="1"/>
    <col min="11283" max="11286" width="1" style="38" customWidth="1"/>
    <col min="11287" max="11287" width="17.88671875" style="38" customWidth="1"/>
    <col min="11288" max="11291" width="1" style="38" customWidth="1"/>
    <col min="11292" max="11292" width="17.88671875" style="38" customWidth="1"/>
    <col min="11293" max="11296" width="1" style="38" customWidth="1"/>
    <col min="11297" max="11297" width="17.88671875" style="38" customWidth="1"/>
    <col min="11298" max="11299" width="1" style="38" customWidth="1"/>
    <col min="11300" max="11300" width="1.33203125" style="38" customWidth="1"/>
    <col min="11301" max="11301" width="1" style="38" customWidth="1"/>
    <col min="11302" max="11302" width="17.88671875" style="38" customWidth="1"/>
    <col min="11303" max="11306" width="1" style="38" customWidth="1"/>
    <col min="11307" max="11307" width="14.6640625" style="38" customWidth="1"/>
    <col min="11308" max="11311" width="1" style="38" customWidth="1"/>
    <col min="11312" max="11312" width="17.88671875" style="38" customWidth="1"/>
    <col min="11313" max="11316" width="1" style="38" customWidth="1"/>
    <col min="11317" max="11317" width="17.88671875" style="38" customWidth="1"/>
    <col min="11318" max="11321" width="1" style="38" customWidth="1"/>
    <col min="11322" max="11322" width="17.88671875" style="38" customWidth="1"/>
    <col min="11323" max="11326" width="1" style="38" customWidth="1"/>
    <col min="11327" max="11327" width="17.88671875" style="38" customWidth="1"/>
    <col min="11328" max="11331" width="1" style="38" customWidth="1"/>
    <col min="11332" max="11332" width="18.6640625" style="38" bestFit="1" customWidth="1"/>
    <col min="11333" max="11336" width="1" style="38" customWidth="1"/>
    <col min="11337" max="11337" width="17.33203125" style="38" customWidth="1"/>
    <col min="11338" max="11338" width="0.6640625" style="38" customWidth="1"/>
    <col min="11339" max="11339" width="1" style="38" customWidth="1"/>
    <col min="11340" max="11394" width="0" style="38" hidden="1" customWidth="1"/>
    <col min="11395" max="11395" width="1" style="38" customWidth="1"/>
    <col min="11396" max="11396" width="1.88671875" style="38" customWidth="1"/>
    <col min="11397" max="11397" width="11.6640625" style="38" bestFit="1" customWidth="1"/>
    <col min="11398" max="11398" width="10" style="38" customWidth="1"/>
    <col min="11399" max="11399" width="10.44140625" style="38" bestFit="1" customWidth="1"/>
    <col min="11400" max="11400" width="10" style="38" customWidth="1"/>
    <col min="11401" max="11402" width="10" style="38"/>
    <col min="11403" max="11403" width="13.44140625" style="38" bestFit="1" customWidth="1"/>
    <col min="11404" max="11515" width="10" style="38"/>
    <col min="11516" max="11518" width="0" style="38" hidden="1" customWidth="1"/>
    <col min="11519" max="11519" width="64.88671875" style="38" customWidth="1"/>
    <col min="11520" max="11520" width="7" style="38" customWidth="1"/>
    <col min="11521" max="11522" width="1" style="38" customWidth="1"/>
    <col min="11523" max="11523" width="15.109375" style="38" customWidth="1"/>
    <col min="11524" max="11525" width="1" style="38" customWidth="1"/>
    <col min="11526" max="11526" width="0.88671875" style="38" customWidth="1"/>
    <col min="11527" max="11527" width="1" style="38" customWidth="1"/>
    <col min="11528" max="11528" width="17.88671875" style="38" customWidth="1"/>
    <col min="11529" max="11532" width="1" style="38" customWidth="1"/>
    <col min="11533" max="11533" width="17.88671875" style="38" customWidth="1"/>
    <col min="11534" max="11537" width="1" style="38" customWidth="1"/>
    <col min="11538" max="11538" width="17.88671875" style="38" customWidth="1"/>
    <col min="11539" max="11542" width="1" style="38" customWidth="1"/>
    <col min="11543" max="11543" width="17.88671875" style="38" customWidth="1"/>
    <col min="11544" max="11547" width="1" style="38" customWidth="1"/>
    <col min="11548" max="11548" width="17.88671875" style="38" customWidth="1"/>
    <col min="11549" max="11552" width="1" style="38" customWidth="1"/>
    <col min="11553" max="11553" width="17.88671875" style="38" customWidth="1"/>
    <col min="11554" max="11555" width="1" style="38" customWidth="1"/>
    <col min="11556" max="11556" width="1.33203125" style="38" customWidth="1"/>
    <col min="11557" max="11557" width="1" style="38" customWidth="1"/>
    <col min="11558" max="11558" width="17.88671875" style="38" customWidth="1"/>
    <col min="11559" max="11562" width="1" style="38" customWidth="1"/>
    <col min="11563" max="11563" width="14.6640625" style="38" customWidth="1"/>
    <col min="11564" max="11567" width="1" style="38" customWidth="1"/>
    <col min="11568" max="11568" width="17.88671875" style="38" customWidth="1"/>
    <col min="11569" max="11572" width="1" style="38" customWidth="1"/>
    <col min="11573" max="11573" width="17.88671875" style="38" customWidth="1"/>
    <col min="11574" max="11577" width="1" style="38" customWidth="1"/>
    <col min="11578" max="11578" width="17.88671875" style="38" customWidth="1"/>
    <col min="11579" max="11582" width="1" style="38" customWidth="1"/>
    <col min="11583" max="11583" width="17.88671875" style="38" customWidth="1"/>
    <col min="11584" max="11587" width="1" style="38" customWidth="1"/>
    <col min="11588" max="11588" width="18.6640625" style="38" bestFit="1" customWidth="1"/>
    <col min="11589" max="11592" width="1" style="38" customWidth="1"/>
    <col min="11593" max="11593" width="17.33203125" style="38" customWidth="1"/>
    <col min="11594" max="11594" width="0.6640625" style="38" customWidth="1"/>
    <col min="11595" max="11595" width="1" style="38" customWidth="1"/>
    <col min="11596" max="11650" width="0" style="38" hidden="1" customWidth="1"/>
    <col min="11651" max="11651" width="1" style="38" customWidth="1"/>
    <col min="11652" max="11652" width="1.88671875" style="38" customWidth="1"/>
    <col min="11653" max="11653" width="11.6640625" style="38" bestFit="1" customWidth="1"/>
    <col min="11654" max="11654" width="10" style="38" customWidth="1"/>
    <col min="11655" max="11655" width="10.44140625" style="38" bestFit="1" customWidth="1"/>
    <col min="11656" max="11656" width="10" style="38" customWidth="1"/>
    <col min="11657" max="11658" width="10" style="38"/>
    <col min="11659" max="11659" width="13.44140625" style="38" bestFit="1" customWidth="1"/>
    <col min="11660" max="11771" width="10" style="38"/>
    <col min="11772" max="11774" width="0" style="38" hidden="1" customWidth="1"/>
    <col min="11775" max="11775" width="64.88671875" style="38" customWidth="1"/>
    <col min="11776" max="11776" width="7" style="38" customWidth="1"/>
    <col min="11777" max="11778" width="1" style="38" customWidth="1"/>
    <col min="11779" max="11779" width="15.109375" style="38" customWidth="1"/>
    <col min="11780" max="11781" width="1" style="38" customWidth="1"/>
    <col min="11782" max="11782" width="0.88671875" style="38" customWidth="1"/>
    <col min="11783" max="11783" width="1" style="38" customWidth="1"/>
    <col min="11784" max="11784" width="17.88671875" style="38" customWidth="1"/>
    <col min="11785" max="11788" width="1" style="38" customWidth="1"/>
    <col min="11789" max="11789" width="17.88671875" style="38" customWidth="1"/>
    <col min="11790" max="11793" width="1" style="38" customWidth="1"/>
    <col min="11794" max="11794" width="17.88671875" style="38" customWidth="1"/>
    <col min="11795" max="11798" width="1" style="38" customWidth="1"/>
    <col min="11799" max="11799" width="17.88671875" style="38" customWidth="1"/>
    <col min="11800" max="11803" width="1" style="38" customWidth="1"/>
    <col min="11804" max="11804" width="17.88671875" style="38" customWidth="1"/>
    <col min="11805" max="11808" width="1" style="38" customWidth="1"/>
    <col min="11809" max="11809" width="17.88671875" style="38" customWidth="1"/>
    <col min="11810" max="11811" width="1" style="38" customWidth="1"/>
    <col min="11812" max="11812" width="1.33203125" style="38" customWidth="1"/>
    <col min="11813" max="11813" width="1" style="38" customWidth="1"/>
    <col min="11814" max="11814" width="17.88671875" style="38" customWidth="1"/>
    <col min="11815" max="11818" width="1" style="38" customWidth="1"/>
    <col min="11819" max="11819" width="14.6640625" style="38" customWidth="1"/>
    <col min="11820" max="11823" width="1" style="38" customWidth="1"/>
    <col min="11824" max="11824" width="17.88671875" style="38" customWidth="1"/>
    <col min="11825" max="11828" width="1" style="38" customWidth="1"/>
    <col min="11829" max="11829" width="17.88671875" style="38" customWidth="1"/>
    <col min="11830" max="11833" width="1" style="38" customWidth="1"/>
    <col min="11834" max="11834" width="17.88671875" style="38" customWidth="1"/>
    <col min="11835" max="11838" width="1" style="38" customWidth="1"/>
    <col min="11839" max="11839" width="17.88671875" style="38" customWidth="1"/>
    <col min="11840" max="11843" width="1" style="38" customWidth="1"/>
    <col min="11844" max="11844" width="18.6640625" style="38" bestFit="1" customWidth="1"/>
    <col min="11845" max="11848" width="1" style="38" customWidth="1"/>
    <col min="11849" max="11849" width="17.33203125" style="38" customWidth="1"/>
    <col min="11850" max="11850" width="0.6640625" style="38" customWidth="1"/>
    <col min="11851" max="11851" width="1" style="38" customWidth="1"/>
    <col min="11852" max="11906" width="0" style="38" hidden="1" customWidth="1"/>
    <col min="11907" max="11907" width="1" style="38" customWidth="1"/>
    <col min="11908" max="11908" width="1.88671875" style="38" customWidth="1"/>
    <col min="11909" max="11909" width="11.6640625" style="38" bestFit="1" customWidth="1"/>
    <col min="11910" max="11910" width="10" style="38" customWidth="1"/>
    <col min="11911" max="11911" width="10.44140625" style="38" bestFit="1" customWidth="1"/>
    <col min="11912" max="11912" width="10" style="38" customWidth="1"/>
    <col min="11913" max="11914" width="10" style="38"/>
    <col min="11915" max="11915" width="13.44140625" style="38" bestFit="1" customWidth="1"/>
    <col min="11916" max="12027" width="10" style="38"/>
    <col min="12028" max="12030" width="0" style="38" hidden="1" customWidth="1"/>
    <col min="12031" max="12031" width="64.88671875" style="38" customWidth="1"/>
    <col min="12032" max="12032" width="7" style="38" customWidth="1"/>
    <col min="12033" max="12034" width="1" style="38" customWidth="1"/>
    <col min="12035" max="12035" width="15.109375" style="38" customWidth="1"/>
    <col min="12036" max="12037" width="1" style="38" customWidth="1"/>
    <col min="12038" max="12038" width="0.88671875" style="38" customWidth="1"/>
    <col min="12039" max="12039" width="1" style="38" customWidth="1"/>
    <col min="12040" max="12040" width="17.88671875" style="38" customWidth="1"/>
    <col min="12041" max="12044" width="1" style="38" customWidth="1"/>
    <col min="12045" max="12045" width="17.88671875" style="38" customWidth="1"/>
    <col min="12046" max="12049" width="1" style="38" customWidth="1"/>
    <col min="12050" max="12050" width="17.88671875" style="38" customWidth="1"/>
    <col min="12051" max="12054" width="1" style="38" customWidth="1"/>
    <col min="12055" max="12055" width="17.88671875" style="38" customWidth="1"/>
    <col min="12056" max="12059" width="1" style="38" customWidth="1"/>
    <col min="12060" max="12060" width="17.88671875" style="38" customWidth="1"/>
    <col min="12061" max="12064" width="1" style="38" customWidth="1"/>
    <col min="12065" max="12065" width="17.88671875" style="38" customWidth="1"/>
    <col min="12066" max="12067" width="1" style="38" customWidth="1"/>
    <col min="12068" max="12068" width="1.33203125" style="38" customWidth="1"/>
    <col min="12069" max="12069" width="1" style="38" customWidth="1"/>
    <col min="12070" max="12070" width="17.88671875" style="38" customWidth="1"/>
    <col min="12071" max="12074" width="1" style="38" customWidth="1"/>
    <col min="12075" max="12075" width="14.6640625" style="38" customWidth="1"/>
    <col min="12076" max="12079" width="1" style="38" customWidth="1"/>
    <col min="12080" max="12080" width="17.88671875" style="38" customWidth="1"/>
    <col min="12081" max="12084" width="1" style="38" customWidth="1"/>
    <col min="12085" max="12085" width="17.88671875" style="38" customWidth="1"/>
    <col min="12086" max="12089" width="1" style="38" customWidth="1"/>
    <col min="12090" max="12090" width="17.88671875" style="38" customWidth="1"/>
    <col min="12091" max="12094" width="1" style="38" customWidth="1"/>
    <col min="12095" max="12095" width="17.88671875" style="38" customWidth="1"/>
    <col min="12096" max="12099" width="1" style="38" customWidth="1"/>
    <col min="12100" max="12100" width="18.6640625" style="38" bestFit="1" customWidth="1"/>
    <col min="12101" max="12104" width="1" style="38" customWidth="1"/>
    <col min="12105" max="12105" width="17.33203125" style="38" customWidth="1"/>
    <col min="12106" max="12106" width="0.6640625" style="38" customWidth="1"/>
    <col min="12107" max="12107" width="1" style="38" customWidth="1"/>
    <col min="12108" max="12162" width="0" style="38" hidden="1" customWidth="1"/>
    <col min="12163" max="12163" width="1" style="38" customWidth="1"/>
    <col min="12164" max="12164" width="1.88671875" style="38" customWidth="1"/>
    <col min="12165" max="12165" width="11.6640625" style="38" bestFit="1" customWidth="1"/>
    <col min="12166" max="12166" width="10" style="38" customWidth="1"/>
    <col min="12167" max="12167" width="10.44140625" style="38" bestFit="1" customWidth="1"/>
    <col min="12168" max="12168" width="10" style="38" customWidth="1"/>
    <col min="12169" max="12170" width="10" style="38"/>
    <col min="12171" max="12171" width="13.44140625" style="38" bestFit="1" customWidth="1"/>
    <col min="12172" max="12283" width="10" style="38"/>
    <col min="12284" max="12286" width="0" style="38" hidden="1" customWidth="1"/>
    <col min="12287" max="12287" width="64.88671875" style="38" customWidth="1"/>
    <col min="12288" max="12288" width="7" style="38" customWidth="1"/>
    <col min="12289" max="12290" width="1" style="38" customWidth="1"/>
    <col min="12291" max="12291" width="15.109375" style="38" customWidth="1"/>
    <col min="12292" max="12293" width="1" style="38" customWidth="1"/>
    <col min="12294" max="12294" width="0.88671875" style="38" customWidth="1"/>
    <col min="12295" max="12295" width="1" style="38" customWidth="1"/>
    <col min="12296" max="12296" width="17.88671875" style="38" customWidth="1"/>
    <col min="12297" max="12300" width="1" style="38" customWidth="1"/>
    <col min="12301" max="12301" width="17.88671875" style="38" customWidth="1"/>
    <col min="12302" max="12305" width="1" style="38" customWidth="1"/>
    <col min="12306" max="12306" width="17.88671875" style="38" customWidth="1"/>
    <col min="12307" max="12310" width="1" style="38" customWidth="1"/>
    <col min="12311" max="12311" width="17.88671875" style="38" customWidth="1"/>
    <col min="12312" max="12315" width="1" style="38" customWidth="1"/>
    <col min="12316" max="12316" width="17.88671875" style="38" customWidth="1"/>
    <col min="12317" max="12320" width="1" style="38" customWidth="1"/>
    <col min="12321" max="12321" width="17.88671875" style="38" customWidth="1"/>
    <col min="12322" max="12323" width="1" style="38" customWidth="1"/>
    <col min="12324" max="12324" width="1.33203125" style="38" customWidth="1"/>
    <col min="12325" max="12325" width="1" style="38" customWidth="1"/>
    <col min="12326" max="12326" width="17.88671875" style="38" customWidth="1"/>
    <col min="12327" max="12330" width="1" style="38" customWidth="1"/>
    <col min="12331" max="12331" width="14.6640625" style="38" customWidth="1"/>
    <col min="12332" max="12335" width="1" style="38" customWidth="1"/>
    <col min="12336" max="12336" width="17.88671875" style="38" customWidth="1"/>
    <col min="12337" max="12340" width="1" style="38" customWidth="1"/>
    <col min="12341" max="12341" width="17.88671875" style="38" customWidth="1"/>
    <col min="12342" max="12345" width="1" style="38" customWidth="1"/>
    <col min="12346" max="12346" width="17.88671875" style="38" customWidth="1"/>
    <col min="12347" max="12350" width="1" style="38" customWidth="1"/>
    <col min="12351" max="12351" width="17.88671875" style="38" customWidth="1"/>
    <col min="12352" max="12355" width="1" style="38" customWidth="1"/>
    <col min="12356" max="12356" width="18.6640625" style="38" bestFit="1" customWidth="1"/>
    <col min="12357" max="12360" width="1" style="38" customWidth="1"/>
    <col min="12361" max="12361" width="17.33203125" style="38" customWidth="1"/>
    <col min="12362" max="12362" width="0.6640625" style="38" customWidth="1"/>
    <col min="12363" max="12363" width="1" style="38" customWidth="1"/>
    <col min="12364" max="12418" width="0" style="38" hidden="1" customWidth="1"/>
    <col min="12419" max="12419" width="1" style="38" customWidth="1"/>
    <col min="12420" max="12420" width="1.88671875" style="38" customWidth="1"/>
    <col min="12421" max="12421" width="11.6640625" style="38" bestFit="1" customWidth="1"/>
    <col min="12422" max="12422" width="10" style="38" customWidth="1"/>
    <col min="12423" max="12423" width="10.44140625" style="38" bestFit="1" customWidth="1"/>
    <col min="12424" max="12424" width="10" style="38" customWidth="1"/>
    <col min="12425" max="12426" width="10" style="38"/>
    <col min="12427" max="12427" width="13.44140625" style="38" bestFit="1" customWidth="1"/>
    <col min="12428" max="12539" width="10" style="38"/>
    <col min="12540" max="12542" width="0" style="38" hidden="1" customWidth="1"/>
    <col min="12543" max="12543" width="64.88671875" style="38" customWidth="1"/>
    <col min="12544" max="12544" width="7" style="38" customWidth="1"/>
    <col min="12545" max="12546" width="1" style="38" customWidth="1"/>
    <col min="12547" max="12547" width="15.109375" style="38" customWidth="1"/>
    <col min="12548" max="12549" width="1" style="38" customWidth="1"/>
    <col min="12550" max="12550" width="0.88671875" style="38" customWidth="1"/>
    <col min="12551" max="12551" width="1" style="38" customWidth="1"/>
    <col min="12552" max="12552" width="17.88671875" style="38" customWidth="1"/>
    <col min="12553" max="12556" width="1" style="38" customWidth="1"/>
    <col min="12557" max="12557" width="17.88671875" style="38" customWidth="1"/>
    <col min="12558" max="12561" width="1" style="38" customWidth="1"/>
    <col min="12562" max="12562" width="17.88671875" style="38" customWidth="1"/>
    <col min="12563" max="12566" width="1" style="38" customWidth="1"/>
    <col min="12567" max="12567" width="17.88671875" style="38" customWidth="1"/>
    <col min="12568" max="12571" width="1" style="38" customWidth="1"/>
    <col min="12572" max="12572" width="17.88671875" style="38" customWidth="1"/>
    <col min="12573" max="12576" width="1" style="38" customWidth="1"/>
    <col min="12577" max="12577" width="17.88671875" style="38" customWidth="1"/>
    <col min="12578" max="12579" width="1" style="38" customWidth="1"/>
    <col min="12580" max="12580" width="1.33203125" style="38" customWidth="1"/>
    <col min="12581" max="12581" width="1" style="38" customWidth="1"/>
    <col min="12582" max="12582" width="17.88671875" style="38" customWidth="1"/>
    <col min="12583" max="12586" width="1" style="38" customWidth="1"/>
    <col min="12587" max="12587" width="14.6640625" style="38" customWidth="1"/>
    <col min="12588" max="12591" width="1" style="38" customWidth="1"/>
    <col min="12592" max="12592" width="17.88671875" style="38" customWidth="1"/>
    <col min="12593" max="12596" width="1" style="38" customWidth="1"/>
    <col min="12597" max="12597" width="17.88671875" style="38" customWidth="1"/>
    <col min="12598" max="12601" width="1" style="38" customWidth="1"/>
    <col min="12602" max="12602" width="17.88671875" style="38" customWidth="1"/>
    <col min="12603" max="12606" width="1" style="38" customWidth="1"/>
    <col min="12607" max="12607" width="17.88671875" style="38" customWidth="1"/>
    <col min="12608" max="12611" width="1" style="38" customWidth="1"/>
    <col min="12612" max="12612" width="18.6640625" style="38" bestFit="1" customWidth="1"/>
    <col min="12613" max="12616" width="1" style="38" customWidth="1"/>
    <col min="12617" max="12617" width="17.33203125" style="38" customWidth="1"/>
    <col min="12618" max="12618" width="0.6640625" style="38" customWidth="1"/>
    <col min="12619" max="12619" width="1" style="38" customWidth="1"/>
    <col min="12620" max="12674" width="0" style="38" hidden="1" customWidth="1"/>
    <col min="12675" max="12675" width="1" style="38" customWidth="1"/>
    <col min="12676" max="12676" width="1.88671875" style="38" customWidth="1"/>
    <col min="12677" max="12677" width="11.6640625" style="38" bestFit="1" customWidth="1"/>
    <col min="12678" max="12678" width="10" style="38" customWidth="1"/>
    <col min="12679" max="12679" width="10.44140625" style="38" bestFit="1" customWidth="1"/>
    <col min="12680" max="12680" width="10" style="38" customWidth="1"/>
    <col min="12681" max="12682" width="10" style="38"/>
    <col min="12683" max="12683" width="13.44140625" style="38" bestFit="1" customWidth="1"/>
    <col min="12684" max="12795" width="10" style="38"/>
    <col min="12796" max="12798" width="0" style="38" hidden="1" customWidth="1"/>
    <col min="12799" max="12799" width="64.88671875" style="38" customWidth="1"/>
    <col min="12800" max="12800" width="7" style="38" customWidth="1"/>
    <col min="12801" max="12802" width="1" style="38" customWidth="1"/>
    <col min="12803" max="12803" width="15.109375" style="38" customWidth="1"/>
    <col min="12804" max="12805" width="1" style="38" customWidth="1"/>
    <col min="12806" max="12806" width="0.88671875" style="38" customWidth="1"/>
    <col min="12807" max="12807" width="1" style="38" customWidth="1"/>
    <col min="12808" max="12808" width="17.88671875" style="38" customWidth="1"/>
    <col min="12809" max="12812" width="1" style="38" customWidth="1"/>
    <col min="12813" max="12813" width="17.88671875" style="38" customWidth="1"/>
    <col min="12814" max="12817" width="1" style="38" customWidth="1"/>
    <col min="12818" max="12818" width="17.88671875" style="38" customWidth="1"/>
    <col min="12819" max="12822" width="1" style="38" customWidth="1"/>
    <col min="12823" max="12823" width="17.88671875" style="38" customWidth="1"/>
    <col min="12824" max="12827" width="1" style="38" customWidth="1"/>
    <col min="12828" max="12828" width="17.88671875" style="38" customWidth="1"/>
    <col min="12829" max="12832" width="1" style="38" customWidth="1"/>
    <col min="12833" max="12833" width="17.88671875" style="38" customWidth="1"/>
    <col min="12834" max="12835" width="1" style="38" customWidth="1"/>
    <col min="12836" max="12836" width="1.33203125" style="38" customWidth="1"/>
    <col min="12837" max="12837" width="1" style="38" customWidth="1"/>
    <col min="12838" max="12838" width="17.88671875" style="38" customWidth="1"/>
    <col min="12839" max="12842" width="1" style="38" customWidth="1"/>
    <col min="12843" max="12843" width="14.6640625" style="38" customWidth="1"/>
    <col min="12844" max="12847" width="1" style="38" customWidth="1"/>
    <col min="12848" max="12848" width="17.88671875" style="38" customWidth="1"/>
    <col min="12849" max="12852" width="1" style="38" customWidth="1"/>
    <col min="12853" max="12853" width="17.88671875" style="38" customWidth="1"/>
    <col min="12854" max="12857" width="1" style="38" customWidth="1"/>
    <col min="12858" max="12858" width="17.88671875" style="38" customWidth="1"/>
    <col min="12859" max="12862" width="1" style="38" customWidth="1"/>
    <col min="12863" max="12863" width="17.88671875" style="38" customWidth="1"/>
    <col min="12864" max="12867" width="1" style="38" customWidth="1"/>
    <col min="12868" max="12868" width="18.6640625" style="38" bestFit="1" customWidth="1"/>
    <col min="12869" max="12872" width="1" style="38" customWidth="1"/>
    <col min="12873" max="12873" width="17.33203125" style="38" customWidth="1"/>
    <col min="12874" max="12874" width="0.6640625" style="38" customWidth="1"/>
    <col min="12875" max="12875" width="1" style="38" customWidth="1"/>
    <col min="12876" max="12930" width="0" style="38" hidden="1" customWidth="1"/>
    <col min="12931" max="12931" width="1" style="38" customWidth="1"/>
    <col min="12932" max="12932" width="1.88671875" style="38" customWidth="1"/>
    <col min="12933" max="12933" width="11.6640625" style="38" bestFit="1" customWidth="1"/>
    <col min="12934" max="12934" width="10" style="38" customWidth="1"/>
    <col min="12935" max="12935" width="10.44140625" style="38" bestFit="1" customWidth="1"/>
    <col min="12936" max="12936" width="10" style="38" customWidth="1"/>
    <col min="12937" max="12938" width="10" style="38"/>
    <col min="12939" max="12939" width="13.44140625" style="38" bestFit="1" customWidth="1"/>
    <col min="12940" max="13051" width="10" style="38"/>
    <col min="13052" max="13054" width="0" style="38" hidden="1" customWidth="1"/>
    <col min="13055" max="13055" width="64.88671875" style="38" customWidth="1"/>
    <col min="13056" max="13056" width="7" style="38" customWidth="1"/>
    <col min="13057" max="13058" width="1" style="38" customWidth="1"/>
    <col min="13059" max="13059" width="15.109375" style="38" customWidth="1"/>
    <col min="13060" max="13061" width="1" style="38" customWidth="1"/>
    <col min="13062" max="13062" width="0.88671875" style="38" customWidth="1"/>
    <col min="13063" max="13063" width="1" style="38" customWidth="1"/>
    <col min="13064" max="13064" width="17.88671875" style="38" customWidth="1"/>
    <col min="13065" max="13068" width="1" style="38" customWidth="1"/>
    <col min="13069" max="13069" width="17.88671875" style="38" customWidth="1"/>
    <col min="13070" max="13073" width="1" style="38" customWidth="1"/>
    <col min="13074" max="13074" width="17.88671875" style="38" customWidth="1"/>
    <col min="13075" max="13078" width="1" style="38" customWidth="1"/>
    <col min="13079" max="13079" width="17.88671875" style="38" customWidth="1"/>
    <col min="13080" max="13083" width="1" style="38" customWidth="1"/>
    <col min="13084" max="13084" width="17.88671875" style="38" customWidth="1"/>
    <col min="13085" max="13088" width="1" style="38" customWidth="1"/>
    <col min="13089" max="13089" width="17.88671875" style="38" customWidth="1"/>
    <col min="13090" max="13091" width="1" style="38" customWidth="1"/>
    <col min="13092" max="13092" width="1.33203125" style="38" customWidth="1"/>
    <col min="13093" max="13093" width="1" style="38" customWidth="1"/>
    <col min="13094" max="13094" width="17.88671875" style="38" customWidth="1"/>
    <col min="13095" max="13098" width="1" style="38" customWidth="1"/>
    <col min="13099" max="13099" width="14.6640625" style="38" customWidth="1"/>
    <col min="13100" max="13103" width="1" style="38" customWidth="1"/>
    <col min="13104" max="13104" width="17.88671875" style="38" customWidth="1"/>
    <col min="13105" max="13108" width="1" style="38" customWidth="1"/>
    <col min="13109" max="13109" width="17.88671875" style="38" customWidth="1"/>
    <col min="13110" max="13113" width="1" style="38" customWidth="1"/>
    <col min="13114" max="13114" width="17.88671875" style="38" customWidth="1"/>
    <col min="13115" max="13118" width="1" style="38" customWidth="1"/>
    <col min="13119" max="13119" width="17.88671875" style="38" customWidth="1"/>
    <col min="13120" max="13123" width="1" style="38" customWidth="1"/>
    <col min="13124" max="13124" width="18.6640625" style="38" bestFit="1" customWidth="1"/>
    <col min="13125" max="13128" width="1" style="38" customWidth="1"/>
    <col min="13129" max="13129" width="17.33203125" style="38" customWidth="1"/>
    <col min="13130" max="13130" width="0.6640625" style="38" customWidth="1"/>
    <col min="13131" max="13131" width="1" style="38" customWidth="1"/>
    <col min="13132" max="13186" width="0" style="38" hidden="1" customWidth="1"/>
    <col min="13187" max="13187" width="1" style="38" customWidth="1"/>
    <col min="13188" max="13188" width="1.88671875" style="38" customWidth="1"/>
    <col min="13189" max="13189" width="11.6640625" style="38" bestFit="1" customWidth="1"/>
    <col min="13190" max="13190" width="10" style="38" customWidth="1"/>
    <col min="13191" max="13191" width="10.44140625" style="38" bestFit="1" customWidth="1"/>
    <col min="13192" max="13192" width="10" style="38" customWidth="1"/>
    <col min="13193" max="13194" width="10" style="38"/>
    <col min="13195" max="13195" width="13.44140625" style="38" bestFit="1" customWidth="1"/>
    <col min="13196" max="13307" width="10" style="38"/>
    <col min="13308" max="13310" width="0" style="38" hidden="1" customWidth="1"/>
    <col min="13311" max="13311" width="64.88671875" style="38" customWidth="1"/>
    <col min="13312" max="13312" width="7" style="38" customWidth="1"/>
    <col min="13313" max="13314" width="1" style="38" customWidth="1"/>
    <col min="13315" max="13315" width="15.109375" style="38" customWidth="1"/>
    <col min="13316" max="13317" width="1" style="38" customWidth="1"/>
    <col min="13318" max="13318" width="0.88671875" style="38" customWidth="1"/>
    <col min="13319" max="13319" width="1" style="38" customWidth="1"/>
    <col min="13320" max="13320" width="17.88671875" style="38" customWidth="1"/>
    <col min="13321" max="13324" width="1" style="38" customWidth="1"/>
    <col min="13325" max="13325" width="17.88671875" style="38" customWidth="1"/>
    <col min="13326" max="13329" width="1" style="38" customWidth="1"/>
    <col min="13330" max="13330" width="17.88671875" style="38" customWidth="1"/>
    <col min="13331" max="13334" width="1" style="38" customWidth="1"/>
    <col min="13335" max="13335" width="17.88671875" style="38" customWidth="1"/>
    <col min="13336" max="13339" width="1" style="38" customWidth="1"/>
    <col min="13340" max="13340" width="17.88671875" style="38" customWidth="1"/>
    <col min="13341" max="13344" width="1" style="38" customWidth="1"/>
    <col min="13345" max="13345" width="17.88671875" style="38" customWidth="1"/>
    <col min="13346" max="13347" width="1" style="38" customWidth="1"/>
    <col min="13348" max="13348" width="1.33203125" style="38" customWidth="1"/>
    <col min="13349" max="13349" width="1" style="38" customWidth="1"/>
    <col min="13350" max="13350" width="17.88671875" style="38" customWidth="1"/>
    <col min="13351" max="13354" width="1" style="38" customWidth="1"/>
    <col min="13355" max="13355" width="14.6640625" style="38" customWidth="1"/>
    <col min="13356" max="13359" width="1" style="38" customWidth="1"/>
    <col min="13360" max="13360" width="17.88671875" style="38" customWidth="1"/>
    <col min="13361" max="13364" width="1" style="38" customWidth="1"/>
    <col min="13365" max="13365" width="17.88671875" style="38" customWidth="1"/>
    <col min="13366" max="13369" width="1" style="38" customWidth="1"/>
    <col min="13370" max="13370" width="17.88671875" style="38" customWidth="1"/>
    <col min="13371" max="13374" width="1" style="38" customWidth="1"/>
    <col min="13375" max="13375" width="17.88671875" style="38" customWidth="1"/>
    <col min="13376" max="13379" width="1" style="38" customWidth="1"/>
    <col min="13380" max="13380" width="18.6640625" style="38" bestFit="1" customWidth="1"/>
    <col min="13381" max="13384" width="1" style="38" customWidth="1"/>
    <col min="13385" max="13385" width="17.33203125" style="38" customWidth="1"/>
    <col min="13386" max="13386" width="0.6640625" style="38" customWidth="1"/>
    <col min="13387" max="13387" width="1" style="38" customWidth="1"/>
    <col min="13388" max="13442" width="0" style="38" hidden="1" customWidth="1"/>
    <col min="13443" max="13443" width="1" style="38" customWidth="1"/>
    <col min="13444" max="13444" width="1.88671875" style="38" customWidth="1"/>
    <col min="13445" max="13445" width="11.6640625" style="38" bestFit="1" customWidth="1"/>
    <col min="13446" max="13446" width="10" style="38" customWidth="1"/>
    <col min="13447" max="13447" width="10.44140625" style="38" bestFit="1" customWidth="1"/>
    <col min="13448" max="13448" width="10" style="38" customWidth="1"/>
    <col min="13449" max="13450" width="10" style="38"/>
    <col min="13451" max="13451" width="13.44140625" style="38" bestFit="1" customWidth="1"/>
    <col min="13452" max="13563" width="10" style="38"/>
    <col min="13564" max="13566" width="0" style="38" hidden="1" customWidth="1"/>
    <col min="13567" max="13567" width="64.88671875" style="38" customWidth="1"/>
    <col min="13568" max="13568" width="7" style="38" customWidth="1"/>
    <col min="13569" max="13570" width="1" style="38" customWidth="1"/>
    <col min="13571" max="13571" width="15.109375" style="38" customWidth="1"/>
    <col min="13572" max="13573" width="1" style="38" customWidth="1"/>
    <col min="13574" max="13574" width="0.88671875" style="38" customWidth="1"/>
    <col min="13575" max="13575" width="1" style="38" customWidth="1"/>
    <col min="13576" max="13576" width="17.88671875" style="38" customWidth="1"/>
    <col min="13577" max="13580" width="1" style="38" customWidth="1"/>
    <col min="13581" max="13581" width="17.88671875" style="38" customWidth="1"/>
    <col min="13582" max="13585" width="1" style="38" customWidth="1"/>
    <col min="13586" max="13586" width="17.88671875" style="38" customWidth="1"/>
    <col min="13587" max="13590" width="1" style="38" customWidth="1"/>
    <col min="13591" max="13591" width="17.88671875" style="38" customWidth="1"/>
    <col min="13592" max="13595" width="1" style="38" customWidth="1"/>
    <col min="13596" max="13596" width="17.88671875" style="38" customWidth="1"/>
    <col min="13597" max="13600" width="1" style="38" customWidth="1"/>
    <col min="13601" max="13601" width="17.88671875" style="38" customWidth="1"/>
    <col min="13602" max="13603" width="1" style="38" customWidth="1"/>
    <col min="13604" max="13604" width="1.33203125" style="38" customWidth="1"/>
    <col min="13605" max="13605" width="1" style="38" customWidth="1"/>
    <col min="13606" max="13606" width="17.88671875" style="38" customWidth="1"/>
    <col min="13607" max="13610" width="1" style="38" customWidth="1"/>
    <col min="13611" max="13611" width="14.6640625" style="38" customWidth="1"/>
    <col min="13612" max="13615" width="1" style="38" customWidth="1"/>
    <col min="13616" max="13616" width="17.88671875" style="38" customWidth="1"/>
    <col min="13617" max="13620" width="1" style="38" customWidth="1"/>
    <col min="13621" max="13621" width="17.88671875" style="38" customWidth="1"/>
    <col min="13622" max="13625" width="1" style="38" customWidth="1"/>
    <col min="13626" max="13626" width="17.88671875" style="38" customWidth="1"/>
    <col min="13627" max="13630" width="1" style="38" customWidth="1"/>
    <col min="13631" max="13631" width="17.88671875" style="38" customWidth="1"/>
    <col min="13632" max="13635" width="1" style="38" customWidth="1"/>
    <col min="13636" max="13636" width="18.6640625" style="38" bestFit="1" customWidth="1"/>
    <col min="13637" max="13640" width="1" style="38" customWidth="1"/>
    <col min="13641" max="13641" width="17.33203125" style="38" customWidth="1"/>
    <col min="13642" max="13642" width="0.6640625" style="38" customWidth="1"/>
    <col min="13643" max="13643" width="1" style="38" customWidth="1"/>
    <col min="13644" max="13698" width="0" style="38" hidden="1" customWidth="1"/>
    <col min="13699" max="13699" width="1" style="38" customWidth="1"/>
    <col min="13700" max="13700" width="1.88671875" style="38" customWidth="1"/>
    <col min="13701" max="13701" width="11.6640625" style="38" bestFit="1" customWidth="1"/>
    <col min="13702" max="13702" width="10" style="38" customWidth="1"/>
    <col min="13703" max="13703" width="10.44140625" style="38" bestFit="1" customWidth="1"/>
    <col min="13704" max="13704" width="10" style="38" customWidth="1"/>
    <col min="13705" max="13706" width="10" style="38"/>
    <col min="13707" max="13707" width="13.44140625" style="38" bestFit="1" customWidth="1"/>
    <col min="13708" max="13819" width="10" style="38"/>
    <col min="13820" max="13822" width="0" style="38" hidden="1" customWidth="1"/>
    <col min="13823" max="13823" width="64.88671875" style="38" customWidth="1"/>
    <col min="13824" max="13824" width="7" style="38" customWidth="1"/>
    <col min="13825" max="13826" width="1" style="38" customWidth="1"/>
    <col min="13827" max="13827" width="15.109375" style="38" customWidth="1"/>
    <col min="13828" max="13829" width="1" style="38" customWidth="1"/>
    <col min="13830" max="13830" width="0.88671875" style="38" customWidth="1"/>
    <col min="13831" max="13831" width="1" style="38" customWidth="1"/>
    <col min="13832" max="13832" width="17.88671875" style="38" customWidth="1"/>
    <col min="13833" max="13836" width="1" style="38" customWidth="1"/>
    <col min="13837" max="13837" width="17.88671875" style="38" customWidth="1"/>
    <col min="13838" max="13841" width="1" style="38" customWidth="1"/>
    <col min="13842" max="13842" width="17.88671875" style="38" customWidth="1"/>
    <col min="13843" max="13846" width="1" style="38" customWidth="1"/>
    <col min="13847" max="13847" width="17.88671875" style="38" customWidth="1"/>
    <col min="13848" max="13851" width="1" style="38" customWidth="1"/>
    <col min="13852" max="13852" width="17.88671875" style="38" customWidth="1"/>
    <col min="13853" max="13856" width="1" style="38" customWidth="1"/>
    <col min="13857" max="13857" width="17.88671875" style="38" customWidth="1"/>
    <col min="13858" max="13859" width="1" style="38" customWidth="1"/>
    <col min="13860" max="13860" width="1.33203125" style="38" customWidth="1"/>
    <col min="13861" max="13861" width="1" style="38" customWidth="1"/>
    <col min="13862" max="13862" width="17.88671875" style="38" customWidth="1"/>
    <col min="13863" max="13866" width="1" style="38" customWidth="1"/>
    <col min="13867" max="13867" width="14.6640625" style="38" customWidth="1"/>
    <col min="13868" max="13871" width="1" style="38" customWidth="1"/>
    <col min="13872" max="13872" width="17.88671875" style="38" customWidth="1"/>
    <col min="13873" max="13876" width="1" style="38" customWidth="1"/>
    <col min="13877" max="13877" width="17.88671875" style="38" customWidth="1"/>
    <col min="13878" max="13881" width="1" style="38" customWidth="1"/>
    <col min="13882" max="13882" width="17.88671875" style="38" customWidth="1"/>
    <col min="13883" max="13886" width="1" style="38" customWidth="1"/>
    <col min="13887" max="13887" width="17.88671875" style="38" customWidth="1"/>
    <col min="13888" max="13891" width="1" style="38" customWidth="1"/>
    <col min="13892" max="13892" width="18.6640625" style="38" bestFit="1" customWidth="1"/>
    <col min="13893" max="13896" width="1" style="38" customWidth="1"/>
    <col min="13897" max="13897" width="17.33203125" style="38" customWidth="1"/>
    <col min="13898" max="13898" width="0.6640625" style="38" customWidth="1"/>
    <col min="13899" max="13899" width="1" style="38" customWidth="1"/>
    <col min="13900" max="13954" width="0" style="38" hidden="1" customWidth="1"/>
    <col min="13955" max="13955" width="1" style="38" customWidth="1"/>
    <col min="13956" max="13956" width="1.88671875" style="38" customWidth="1"/>
    <col min="13957" max="13957" width="11.6640625" style="38" bestFit="1" customWidth="1"/>
    <col min="13958" max="13958" width="10" style="38" customWidth="1"/>
    <col min="13959" max="13959" width="10.44140625" style="38" bestFit="1" customWidth="1"/>
    <col min="13960" max="13960" width="10" style="38" customWidth="1"/>
    <col min="13961" max="13962" width="10" style="38"/>
    <col min="13963" max="13963" width="13.44140625" style="38" bestFit="1" customWidth="1"/>
    <col min="13964" max="14075" width="10" style="38"/>
    <col min="14076" max="14078" width="0" style="38" hidden="1" customWidth="1"/>
    <col min="14079" max="14079" width="64.88671875" style="38" customWidth="1"/>
    <col min="14080" max="14080" width="7" style="38" customWidth="1"/>
    <col min="14081" max="14082" width="1" style="38" customWidth="1"/>
    <col min="14083" max="14083" width="15.109375" style="38" customWidth="1"/>
    <col min="14084" max="14085" width="1" style="38" customWidth="1"/>
    <col min="14086" max="14086" width="0.88671875" style="38" customWidth="1"/>
    <col min="14087" max="14087" width="1" style="38" customWidth="1"/>
    <col min="14088" max="14088" width="17.88671875" style="38" customWidth="1"/>
    <col min="14089" max="14092" width="1" style="38" customWidth="1"/>
    <col min="14093" max="14093" width="17.88671875" style="38" customWidth="1"/>
    <col min="14094" max="14097" width="1" style="38" customWidth="1"/>
    <col min="14098" max="14098" width="17.88671875" style="38" customWidth="1"/>
    <col min="14099" max="14102" width="1" style="38" customWidth="1"/>
    <col min="14103" max="14103" width="17.88671875" style="38" customWidth="1"/>
    <col min="14104" max="14107" width="1" style="38" customWidth="1"/>
    <col min="14108" max="14108" width="17.88671875" style="38" customWidth="1"/>
    <col min="14109" max="14112" width="1" style="38" customWidth="1"/>
    <col min="14113" max="14113" width="17.88671875" style="38" customWidth="1"/>
    <col min="14114" max="14115" width="1" style="38" customWidth="1"/>
    <col min="14116" max="14116" width="1.33203125" style="38" customWidth="1"/>
    <col min="14117" max="14117" width="1" style="38" customWidth="1"/>
    <col min="14118" max="14118" width="17.88671875" style="38" customWidth="1"/>
    <col min="14119" max="14122" width="1" style="38" customWidth="1"/>
    <col min="14123" max="14123" width="14.6640625" style="38" customWidth="1"/>
    <col min="14124" max="14127" width="1" style="38" customWidth="1"/>
    <col min="14128" max="14128" width="17.88671875" style="38" customWidth="1"/>
    <col min="14129" max="14132" width="1" style="38" customWidth="1"/>
    <col min="14133" max="14133" width="17.88671875" style="38" customWidth="1"/>
    <col min="14134" max="14137" width="1" style="38" customWidth="1"/>
    <col min="14138" max="14138" width="17.88671875" style="38" customWidth="1"/>
    <col min="14139" max="14142" width="1" style="38" customWidth="1"/>
    <col min="14143" max="14143" width="17.88671875" style="38" customWidth="1"/>
    <col min="14144" max="14147" width="1" style="38" customWidth="1"/>
    <col min="14148" max="14148" width="18.6640625" style="38" bestFit="1" customWidth="1"/>
    <col min="14149" max="14152" width="1" style="38" customWidth="1"/>
    <col min="14153" max="14153" width="17.33203125" style="38" customWidth="1"/>
    <col min="14154" max="14154" width="0.6640625" style="38" customWidth="1"/>
    <col min="14155" max="14155" width="1" style="38" customWidth="1"/>
    <col min="14156" max="14210" width="0" style="38" hidden="1" customWidth="1"/>
    <col min="14211" max="14211" width="1" style="38" customWidth="1"/>
    <col min="14212" max="14212" width="1.88671875" style="38" customWidth="1"/>
    <col min="14213" max="14213" width="11.6640625" style="38" bestFit="1" customWidth="1"/>
    <col min="14214" max="14214" width="10" style="38" customWidth="1"/>
    <col min="14215" max="14215" width="10.44140625" style="38" bestFit="1" customWidth="1"/>
    <col min="14216" max="14216" width="10" style="38" customWidth="1"/>
    <col min="14217" max="14218" width="10" style="38"/>
    <col min="14219" max="14219" width="13.44140625" style="38" bestFit="1" customWidth="1"/>
    <col min="14220" max="14331" width="10" style="38"/>
    <col min="14332" max="14334" width="0" style="38" hidden="1" customWidth="1"/>
    <col min="14335" max="14335" width="64.88671875" style="38" customWidth="1"/>
    <col min="14336" max="14336" width="7" style="38" customWidth="1"/>
    <col min="14337" max="14338" width="1" style="38" customWidth="1"/>
    <col min="14339" max="14339" width="15.109375" style="38" customWidth="1"/>
    <col min="14340" max="14341" width="1" style="38" customWidth="1"/>
    <col min="14342" max="14342" width="0.88671875" style="38" customWidth="1"/>
    <col min="14343" max="14343" width="1" style="38" customWidth="1"/>
    <col min="14344" max="14344" width="17.88671875" style="38" customWidth="1"/>
    <col min="14345" max="14348" width="1" style="38" customWidth="1"/>
    <col min="14349" max="14349" width="17.88671875" style="38" customWidth="1"/>
    <col min="14350" max="14353" width="1" style="38" customWidth="1"/>
    <col min="14354" max="14354" width="17.88671875" style="38" customWidth="1"/>
    <col min="14355" max="14358" width="1" style="38" customWidth="1"/>
    <col min="14359" max="14359" width="17.88671875" style="38" customWidth="1"/>
    <col min="14360" max="14363" width="1" style="38" customWidth="1"/>
    <col min="14364" max="14364" width="17.88671875" style="38" customWidth="1"/>
    <col min="14365" max="14368" width="1" style="38" customWidth="1"/>
    <col min="14369" max="14369" width="17.88671875" style="38" customWidth="1"/>
    <col min="14370" max="14371" width="1" style="38" customWidth="1"/>
    <col min="14372" max="14372" width="1.33203125" style="38" customWidth="1"/>
    <col min="14373" max="14373" width="1" style="38" customWidth="1"/>
    <col min="14374" max="14374" width="17.88671875" style="38" customWidth="1"/>
    <col min="14375" max="14378" width="1" style="38" customWidth="1"/>
    <col min="14379" max="14379" width="14.6640625" style="38" customWidth="1"/>
    <col min="14380" max="14383" width="1" style="38" customWidth="1"/>
    <col min="14384" max="14384" width="17.88671875" style="38" customWidth="1"/>
    <col min="14385" max="14388" width="1" style="38" customWidth="1"/>
    <col min="14389" max="14389" width="17.88671875" style="38" customWidth="1"/>
    <col min="14390" max="14393" width="1" style="38" customWidth="1"/>
    <col min="14394" max="14394" width="17.88671875" style="38" customWidth="1"/>
    <col min="14395" max="14398" width="1" style="38" customWidth="1"/>
    <col min="14399" max="14399" width="17.88671875" style="38" customWidth="1"/>
    <col min="14400" max="14403" width="1" style="38" customWidth="1"/>
    <col min="14404" max="14404" width="18.6640625" style="38" bestFit="1" customWidth="1"/>
    <col min="14405" max="14408" width="1" style="38" customWidth="1"/>
    <col min="14409" max="14409" width="17.33203125" style="38" customWidth="1"/>
    <col min="14410" max="14410" width="0.6640625" style="38" customWidth="1"/>
    <col min="14411" max="14411" width="1" style="38" customWidth="1"/>
    <col min="14412" max="14466" width="0" style="38" hidden="1" customWidth="1"/>
    <col min="14467" max="14467" width="1" style="38" customWidth="1"/>
    <col min="14468" max="14468" width="1.88671875" style="38" customWidth="1"/>
    <col min="14469" max="14469" width="11.6640625" style="38" bestFit="1" customWidth="1"/>
    <col min="14470" max="14470" width="10" style="38" customWidth="1"/>
    <col min="14471" max="14471" width="10.44140625" style="38" bestFit="1" customWidth="1"/>
    <col min="14472" max="14472" width="10" style="38" customWidth="1"/>
    <col min="14473" max="14474" width="10" style="38"/>
    <col min="14475" max="14475" width="13.44140625" style="38" bestFit="1" customWidth="1"/>
    <col min="14476" max="14587" width="10" style="38"/>
    <col min="14588" max="14590" width="0" style="38" hidden="1" customWidth="1"/>
    <col min="14591" max="14591" width="64.88671875" style="38" customWidth="1"/>
    <col min="14592" max="14592" width="7" style="38" customWidth="1"/>
    <col min="14593" max="14594" width="1" style="38" customWidth="1"/>
    <col min="14595" max="14595" width="15.109375" style="38" customWidth="1"/>
    <col min="14596" max="14597" width="1" style="38" customWidth="1"/>
    <col min="14598" max="14598" width="0.88671875" style="38" customWidth="1"/>
    <col min="14599" max="14599" width="1" style="38" customWidth="1"/>
    <col min="14600" max="14600" width="17.88671875" style="38" customWidth="1"/>
    <col min="14601" max="14604" width="1" style="38" customWidth="1"/>
    <col min="14605" max="14605" width="17.88671875" style="38" customWidth="1"/>
    <col min="14606" max="14609" width="1" style="38" customWidth="1"/>
    <col min="14610" max="14610" width="17.88671875" style="38" customWidth="1"/>
    <col min="14611" max="14614" width="1" style="38" customWidth="1"/>
    <col min="14615" max="14615" width="17.88671875" style="38" customWidth="1"/>
    <col min="14616" max="14619" width="1" style="38" customWidth="1"/>
    <col min="14620" max="14620" width="17.88671875" style="38" customWidth="1"/>
    <col min="14621" max="14624" width="1" style="38" customWidth="1"/>
    <col min="14625" max="14625" width="17.88671875" style="38" customWidth="1"/>
    <col min="14626" max="14627" width="1" style="38" customWidth="1"/>
    <col min="14628" max="14628" width="1.33203125" style="38" customWidth="1"/>
    <col min="14629" max="14629" width="1" style="38" customWidth="1"/>
    <col min="14630" max="14630" width="17.88671875" style="38" customWidth="1"/>
    <col min="14631" max="14634" width="1" style="38" customWidth="1"/>
    <col min="14635" max="14635" width="14.6640625" style="38" customWidth="1"/>
    <col min="14636" max="14639" width="1" style="38" customWidth="1"/>
    <col min="14640" max="14640" width="17.88671875" style="38" customWidth="1"/>
    <col min="14641" max="14644" width="1" style="38" customWidth="1"/>
    <col min="14645" max="14645" width="17.88671875" style="38" customWidth="1"/>
    <col min="14646" max="14649" width="1" style="38" customWidth="1"/>
    <col min="14650" max="14650" width="17.88671875" style="38" customWidth="1"/>
    <col min="14651" max="14654" width="1" style="38" customWidth="1"/>
    <col min="14655" max="14655" width="17.88671875" style="38" customWidth="1"/>
    <col min="14656" max="14659" width="1" style="38" customWidth="1"/>
    <col min="14660" max="14660" width="18.6640625" style="38" bestFit="1" customWidth="1"/>
    <col min="14661" max="14664" width="1" style="38" customWidth="1"/>
    <col min="14665" max="14665" width="17.33203125" style="38" customWidth="1"/>
    <col min="14666" max="14666" width="0.6640625" style="38" customWidth="1"/>
    <col min="14667" max="14667" width="1" style="38" customWidth="1"/>
    <col min="14668" max="14722" width="0" style="38" hidden="1" customWidth="1"/>
    <col min="14723" max="14723" width="1" style="38" customWidth="1"/>
    <col min="14724" max="14724" width="1.88671875" style="38" customWidth="1"/>
    <col min="14725" max="14725" width="11.6640625" style="38" bestFit="1" customWidth="1"/>
    <col min="14726" max="14726" width="10" style="38" customWidth="1"/>
    <col min="14727" max="14727" width="10.44140625" style="38" bestFit="1" customWidth="1"/>
    <col min="14728" max="14728" width="10" style="38" customWidth="1"/>
    <col min="14729" max="14730" width="10" style="38"/>
    <col min="14731" max="14731" width="13.44140625" style="38" bestFit="1" customWidth="1"/>
    <col min="14732" max="14843" width="10" style="38"/>
    <col min="14844" max="14846" width="0" style="38" hidden="1" customWidth="1"/>
    <col min="14847" max="14847" width="64.88671875" style="38" customWidth="1"/>
    <col min="14848" max="14848" width="7" style="38" customWidth="1"/>
    <col min="14849" max="14850" width="1" style="38" customWidth="1"/>
    <col min="14851" max="14851" width="15.109375" style="38" customWidth="1"/>
    <col min="14852" max="14853" width="1" style="38" customWidth="1"/>
    <col min="14854" max="14854" width="0.88671875" style="38" customWidth="1"/>
    <col min="14855" max="14855" width="1" style="38" customWidth="1"/>
    <col min="14856" max="14856" width="17.88671875" style="38" customWidth="1"/>
    <col min="14857" max="14860" width="1" style="38" customWidth="1"/>
    <col min="14861" max="14861" width="17.88671875" style="38" customWidth="1"/>
    <col min="14862" max="14865" width="1" style="38" customWidth="1"/>
    <col min="14866" max="14866" width="17.88671875" style="38" customWidth="1"/>
    <col min="14867" max="14870" width="1" style="38" customWidth="1"/>
    <col min="14871" max="14871" width="17.88671875" style="38" customWidth="1"/>
    <col min="14872" max="14875" width="1" style="38" customWidth="1"/>
    <col min="14876" max="14876" width="17.88671875" style="38" customWidth="1"/>
    <col min="14877" max="14880" width="1" style="38" customWidth="1"/>
    <col min="14881" max="14881" width="17.88671875" style="38" customWidth="1"/>
    <col min="14882" max="14883" width="1" style="38" customWidth="1"/>
    <col min="14884" max="14884" width="1.33203125" style="38" customWidth="1"/>
    <col min="14885" max="14885" width="1" style="38" customWidth="1"/>
    <col min="14886" max="14886" width="17.88671875" style="38" customWidth="1"/>
    <col min="14887" max="14890" width="1" style="38" customWidth="1"/>
    <col min="14891" max="14891" width="14.6640625" style="38" customWidth="1"/>
    <col min="14892" max="14895" width="1" style="38" customWidth="1"/>
    <col min="14896" max="14896" width="17.88671875" style="38" customWidth="1"/>
    <col min="14897" max="14900" width="1" style="38" customWidth="1"/>
    <col min="14901" max="14901" width="17.88671875" style="38" customWidth="1"/>
    <col min="14902" max="14905" width="1" style="38" customWidth="1"/>
    <col min="14906" max="14906" width="17.88671875" style="38" customWidth="1"/>
    <col min="14907" max="14910" width="1" style="38" customWidth="1"/>
    <col min="14911" max="14911" width="17.88671875" style="38" customWidth="1"/>
    <col min="14912" max="14915" width="1" style="38" customWidth="1"/>
    <col min="14916" max="14916" width="18.6640625" style="38" bestFit="1" customWidth="1"/>
    <col min="14917" max="14920" width="1" style="38" customWidth="1"/>
    <col min="14921" max="14921" width="17.33203125" style="38" customWidth="1"/>
    <col min="14922" max="14922" width="0.6640625" style="38" customWidth="1"/>
    <col min="14923" max="14923" width="1" style="38" customWidth="1"/>
    <col min="14924" max="14978" width="0" style="38" hidden="1" customWidth="1"/>
    <col min="14979" max="14979" width="1" style="38" customWidth="1"/>
    <col min="14980" max="14980" width="1.88671875" style="38" customWidth="1"/>
    <col min="14981" max="14981" width="11.6640625" style="38" bestFit="1" customWidth="1"/>
    <col min="14982" max="14982" width="10" style="38" customWidth="1"/>
    <col min="14983" max="14983" width="10.44140625" style="38" bestFit="1" customWidth="1"/>
    <col min="14984" max="14984" width="10" style="38" customWidth="1"/>
    <col min="14985" max="14986" width="10" style="38"/>
    <col min="14987" max="14987" width="13.44140625" style="38" bestFit="1" customWidth="1"/>
    <col min="14988" max="15099" width="10" style="38"/>
    <col min="15100" max="15102" width="0" style="38" hidden="1" customWidth="1"/>
    <col min="15103" max="15103" width="64.88671875" style="38" customWidth="1"/>
    <col min="15104" max="15104" width="7" style="38" customWidth="1"/>
    <col min="15105" max="15106" width="1" style="38" customWidth="1"/>
    <col min="15107" max="15107" width="15.109375" style="38" customWidth="1"/>
    <col min="15108" max="15109" width="1" style="38" customWidth="1"/>
    <col min="15110" max="15110" width="0.88671875" style="38" customWidth="1"/>
    <col min="15111" max="15111" width="1" style="38" customWidth="1"/>
    <col min="15112" max="15112" width="17.88671875" style="38" customWidth="1"/>
    <col min="15113" max="15116" width="1" style="38" customWidth="1"/>
    <col min="15117" max="15117" width="17.88671875" style="38" customWidth="1"/>
    <col min="15118" max="15121" width="1" style="38" customWidth="1"/>
    <col min="15122" max="15122" width="17.88671875" style="38" customWidth="1"/>
    <col min="15123" max="15126" width="1" style="38" customWidth="1"/>
    <col min="15127" max="15127" width="17.88671875" style="38" customWidth="1"/>
    <col min="15128" max="15131" width="1" style="38" customWidth="1"/>
    <col min="15132" max="15132" width="17.88671875" style="38" customWidth="1"/>
    <col min="15133" max="15136" width="1" style="38" customWidth="1"/>
    <col min="15137" max="15137" width="17.88671875" style="38" customWidth="1"/>
    <col min="15138" max="15139" width="1" style="38" customWidth="1"/>
    <col min="15140" max="15140" width="1.33203125" style="38" customWidth="1"/>
    <col min="15141" max="15141" width="1" style="38" customWidth="1"/>
    <col min="15142" max="15142" width="17.88671875" style="38" customWidth="1"/>
    <col min="15143" max="15146" width="1" style="38" customWidth="1"/>
    <col min="15147" max="15147" width="14.6640625" style="38" customWidth="1"/>
    <col min="15148" max="15151" width="1" style="38" customWidth="1"/>
    <col min="15152" max="15152" width="17.88671875" style="38" customWidth="1"/>
    <col min="15153" max="15156" width="1" style="38" customWidth="1"/>
    <col min="15157" max="15157" width="17.88671875" style="38" customWidth="1"/>
    <col min="15158" max="15161" width="1" style="38" customWidth="1"/>
    <col min="15162" max="15162" width="17.88671875" style="38" customWidth="1"/>
    <col min="15163" max="15166" width="1" style="38" customWidth="1"/>
    <col min="15167" max="15167" width="17.88671875" style="38" customWidth="1"/>
    <col min="15168" max="15171" width="1" style="38" customWidth="1"/>
    <col min="15172" max="15172" width="18.6640625" style="38" bestFit="1" customWidth="1"/>
    <col min="15173" max="15176" width="1" style="38" customWidth="1"/>
    <col min="15177" max="15177" width="17.33203125" style="38" customWidth="1"/>
    <col min="15178" max="15178" width="0.6640625" style="38" customWidth="1"/>
    <col min="15179" max="15179" width="1" style="38" customWidth="1"/>
    <col min="15180" max="15234" width="0" style="38" hidden="1" customWidth="1"/>
    <col min="15235" max="15235" width="1" style="38" customWidth="1"/>
    <col min="15236" max="15236" width="1.88671875" style="38" customWidth="1"/>
    <col min="15237" max="15237" width="11.6640625" style="38" bestFit="1" customWidth="1"/>
    <col min="15238" max="15238" width="10" style="38" customWidth="1"/>
    <col min="15239" max="15239" width="10.44140625" style="38" bestFit="1" customWidth="1"/>
    <col min="15240" max="15240" width="10" style="38" customWidth="1"/>
    <col min="15241" max="15242" width="10" style="38"/>
    <col min="15243" max="15243" width="13.44140625" style="38" bestFit="1" customWidth="1"/>
    <col min="15244" max="15355" width="10" style="38"/>
    <col min="15356" max="15358" width="0" style="38" hidden="1" customWidth="1"/>
    <col min="15359" max="15359" width="64.88671875" style="38" customWidth="1"/>
    <col min="15360" max="15360" width="7" style="38" customWidth="1"/>
    <col min="15361" max="15362" width="1" style="38" customWidth="1"/>
    <col min="15363" max="15363" width="15.109375" style="38" customWidth="1"/>
    <col min="15364" max="15365" width="1" style="38" customWidth="1"/>
    <col min="15366" max="15366" width="0.88671875" style="38" customWidth="1"/>
    <col min="15367" max="15367" width="1" style="38" customWidth="1"/>
    <col min="15368" max="15368" width="17.88671875" style="38" customWidth="1"/>
    <col min="15369" max="15372" width="1" style="38" customWidth="1"/>
    <col min="15373" max="15373" width="17.88671875" style="38" customWidth="1"/>
    <col min="15374" max="15377" width="1" style="38" customWidth="1"/>
    <col min="15378" max="15378" width="17.88671875" style="38" customWidth="1"/>
    <col min="15379" max="15382" width="1" style="38" customWidth="1"/>
    <col min="15383" max="15383" width="17.88671875" style="38" customWidth="1"/>
    <col min="15384" max="15387" width="1" style="38" customWidth="1"/>
    <col min="15388" max="15388" width="17.88671875" style="38" customWidth="1"/>
    <col min="15389" max="15392" width="1" style="38" customWidth="1"/>
    <col min="15393" max="15393" width="17.88671875" style="38" customWidth="1"/>
    <col min="15394" max="15395" width="1" style="38" customWidth="1"/>
    <col min="15396" max="15396" width="1.33203125" style="38" customWidth="1"/>
    <col min="15397" max="15397" width="1" style="38" customWidth="1"/>
    <col min="15398" max="15398" width="17.88671875" style="38" customWidth="1"/>
    <col min="15399" max="15402" width="1" style="38" customWidth="1"/>
    <col min="15403" max="15403" width="14.6640625" style="38" customWidth="1"/>
    <col min="15404" max="15407" width="1" style="38" customWidth="1"/>
    <col min="15408" max="15408" width="17.88671875" style="38" customWidth="1"/>
    <col min="15409" max="15412" width="1" style="38" customWidth="1"/>
    <col min="15413" max="15413" width="17.88671875" style="38" customWidth="1"/>
    <col min="15414" max="15417" width="1" style="38" customWidth="1"/>
    <col min="15418" max="15418" width="17.88671875" style="38" customWidth="1"/>
    <col min="15419" max="15422" width="1" style="38" customWidth="1"/>
    <col min="15423" max="15423" width="17.88671875" style="38" customWidth="1"/>
    <col min="15424" max="15427" width="1" style="38" customWidth="1"/>
    <col min="15428" max="15428" width="18.6640625" style="38" bestFit="1" customWidth="1"/>
    <col min="15429" max="15432" width="1" style="38" customWidth="1"/>
    <col min="15433" max="15433" width="17.33203125" style="38" customWidth="1"/>
    <col min="15434" max="15434" width="0.6640625" style="38" customWidth="1"/>
    <col min="15435" max="15435" width="1" style="38" customWidth="1"/>
    <col min="15436" max="15490" width="0" style="38" hidden="1" customWidth="1"/>
    <col min="15491" max="15491" width="1" style="38" customWidth="1"/>
    <col min="15492" max="15492" width="1.88671875" style="38" customWidth="1"/>
    <col min="15493" max="15493" width="11.6640625" style="38" bestFit="1" customWidth="1"/>
    <col min="15494" max="15494" width="10" style="38" customWidth="1"/>
    <col min="15495" max="15495" width="10.44140625" style="38" bestFit="1" customWidth="1"/>
    <col min="15496" max="15496" width="10" style="38" customWidth="1"/>
    <col min="15497" max="15498" width="10" style="38"/>
    <col min="15499" max="15499" width="13.44140625" style="38" bestFit="1" customWidth="1"/>
    <col min="15500" max="15611" width="10" style="38"/>
    <col min="15612" max="15614" width="0" style="38" hidden="1" customWidth="1"/>
    <col min="15615" max="15615" width="64.88671875" style="38" customWidth="1"/>
    <col min="15616" max="15616" width="7" style="38" customWidth="1"/>
    <col min="15617" max="15618" width="1" style="38" customWidth="1"/>
    <col min="15619" max="15619" width="15.109375" style="38" customWidth="1"/>
    <col min="15620" max="15621" width="1" style="38" customWidth="1"/>
    <col min="15622" max="15622" width="0.88671875" style="38" customWidth="1"/>
    <col min="15623" max="15623" width="1" style="38" customWidth="1"/>
    <col min="15624" max="15624" width="17.88671875" style="38" customWidth="1"/>
    <col min="15625" max="15628" width="1" style="38" customWidth="1"/>
    <col min="15629" max="15629" width="17.88671875" style="38" customWidth="1"/>
    <col min="15630" max="15633" width="1" style="38" customWidth="1"/>
    <col min="15634" max="15634" width="17.88671875" style="38" customWidth="1"/>
    <col min="15635" max="15638" width="1" style="38" customWidth="1"/>
    <col min="15639" max="15639" width="17.88671875" style="38" customWidth="1"/>
    <col min="15640" max="15643" width="1" style="38" customWidth="1"/>
    <col min="15644" max="15644" width="17.88671875" style="38" customWidth="1"/>
    <col min="15645" max="15648" width="1" style="38" customWidth="1"/>
    <col min="15649" max="15649" width="17.88671875" style="38" customWidth="1"/>
    <col min="15650" max="15651" width="1" style="38" customWidth="1"/>
    <col min="15652" max="15652" width="1.33203125" style="38" customWidth="1"/>
    <col min="15653" max="15653" width="1" style="38" customWidth="1"/>
    <col min="15654" max="15654" width="17.88671875" style="38" customWidth="1"/>
    <col min="15655" max="15658" width="1" style="38" customWidth="1"/>
    <col min="15659" max="15659" width="14.6640625" style="38" customWidth="1"/>
    <col min="15660" max="15663" width="1" style="38" customWidth="1"/>
    <col min="15664" max="15664" width="17.88671875" style="38" customWidth="1"/>
    <col min="15665" max="15668" width="1" style="38" customWidth="1"/>
    <col min="15669" max="15669" width="17.88671875" style="38" customWidth="1"/>
    <col min="15670" max="15673" width="1" style="38" customWidth="1"/>
    <col min="15674" max="15674" width="17.88671875" style="38" customWidth="1"/>
    <col min="15675" max="15678" width="1" style="38" customWidth="1"/>
    <col min="15679" max="15679" width="17.88671875" style="38" customWidth="1"/>
    <col min="15680" max="15683" width="1" style="38" customWidth="1"/>
    <col min="15684" max="15684" width="18.6640625" style="38" bestFit="1" customWidth="1"/>
    <col min="15685" max="15688" width="1" style="38" customWidth="1"/>
    <col min="15689" max="15689" width="17.33203125" style="38" customWidth="1"/>
    <col min="15690" max="15690" width="0.6640625" style="38" customWidth="1"/>
    <col min="15691" max="15691" width="1" style="38" customWidth="1"/>
    <col min="15692" max="15746" width="0" style="38" hidden="1" customWidth="1"/>
    <col min="15747" max="15747" width="1" style="38" customWidth="1"/>
    <col min="15748" max="15748" width="1.88671875" style="38" customWidth="1"/>
    <col min="15749" max="15749" width="11.6640625" style="38" bestFit="1" customWidth="1"/>
    <col min="15750" max="15750" width="10" style="38" customWidth="1"/>
    <col min="15751" max="15751" width="10.44140625" style="38" bestFit="1" customWidth="1"/>
    <col min="15752" max="15752" width="10" style="38" customWidth="1"/>
    <col min="15753" max="15754" width="10" style="38"/>
    <col min="15755" max="15755" width="13.44140625" style="38" bestFit="1" customWidth="1"/>
    <col min="15756" max="15867" width="10" style="38"/>
    <col min="15868" max="15870" width="0" style="38" hidden="1" customWidth="1"/>
    <col min="15871" max="15871" width="64.88671875" style="38" customWidth="1"/>
    <col min="15872" max="15872" width="7" style="38" customWidth="1"/>
    <col min="15873" max="15874" width="1" style="38" customWidth="1"/>
    <col min="15875" max="15875" width="15.109375" style="38" customWidth="1"/>
    <col min="15876" max="15877" width="1" style="38" customWidth="1"/>
    <col min="15878" max="15878" width="0.88671875" style="38" customWidth="1"/>
    <col min="15879" max="15879" width="1" style="38" customWidth="1"/>
    <col min="15880" max="15880" width="17.88671875" style="38" customWidth="1"/>
    <col min="15881" max="15884" width="1" style="38" customWidth="1"/>
    <col min="15885" max="15885" width="17.88671875" style="38" customWidth="1"/>
    <col min="15886" max="15889" width="1" style="38" customWidth="1"/>
    <col min="15890" max="15890" width="17.88671875" style="38" customWidth="1"/>
    <col min="15891" max="15894" width="1" style="38" customWidth="1"/>
    <col min="15895" max="15895" width="17.88671875" style="38" customWidth="1"/>
    <col min="15896" max="15899" width="1" style="38" customWidth="1"/>
    <col min="15900" max="15900" width="17.88671875" style="38" customWidth="1"/>
    <col min="15901" max="15904" width="1" style="38" customWidth="1"/>
    <col min="15905" max="15905" width="17.88671875" style="38" customWidth="1"/>
    <col min="15906" max="15907" width="1" style="38" customWidth="1"/>
    <col min="15908" max="15908" width="1.33203125" style="38" customWidth="1"/>
    <col min="15909" max="15909" width="1" style="38" customWidth="1"/>
    <col min="15910" max="15910" width="17.88671875" style="38" customWidth="1"/>
    <col min="15911" max="15914" width="1" style="38" customWidth="1"/>
    <col min="15915" max="15915" width="14.6640625" style="38" customWidth="1"/>
    <col min="15916" max="15919" width="1" style="38" customWidth="1"/>
    <col min="15920" max="15920" width="17.88671875" style="38" customWidth="1"/>
    <col min="15921" max="15924" width="1" style="38" customWidth="1"/>
    <col min="15925" max="15925" width="17.88671875" style="38" customWidth="1"/>
    <col min="15926" max="15929" width="1" style="38" customWidth="1"/>
    <col min="15930" max="15930" width="17.88671875" style="38" customWidth="1"/>
    <col min="15931" max="15934" width="1" style="38" customWidth="1"/>
    <col min="15935" max="15935" width="17.88671875" style="38" customWidth="1"/>
    <col min="15936" max="15939" width="1" style="38" customWidth="1"/>
    <col min="15940" max="15940" width="18.6640625" style="38" bestFit="1" customWidth="1"/>
    <col min="15941" max="15944" width="1" style="38" customWidth="1"/>
    <col min="15945" max="15945" width="17.33203125" style="38" customWidth="1"/>
    <col min="15946" max="15946" width="0.6640625" style="38" customWidth="1"/>
    <col min="15947" max="15947" width="1" style="38" customWidth="1"/>
    <col min="15948" max="16002" width="0" style="38" hidden="1" customWidth="1"/>
    <col min="16003" max="16003" width="1" style="38" customWidth="1"/>
    <col min="16004" max="16004" width="1.88671875" style="38" customWidth="1"/>
    <col min="16005" max="16005" width="11.6640625" style="38" bestFit="1" customWidth="1"/>
    <col min="16006" max="16006" width="10" style="38" customWidth="1"/>
    <col min="16007" max="16007" width="10.44140625" style="38" bestFit="1" customWidth="1"/>
    <col min="16008" max="16008" width="10" style="38" customWidth="1"/>
    <col min="16009" max="16010" width="10" style="38"/>
    <col min="16011" max="16011" width="13.44140625" style="38" bestFit="1" customWidth="1"/>
    <col min="16012" max="16123" width="10" style="38"/>
    <col min="16124" max="16126" width="0" style="38" hidden="1" customWidth="1"/>
    <col min="16127" max="16127" width="64.88671875" style="38" customWidth="1"/>
    <col min="16128" max="16128" width="7" style="38" customWidth="1"/>
    <col min="16129" max="16130" width="1" style="38" customWidth="1"/>
    <col min="16131" max="16131" width="15.109375" style="38" customWidth="1"/>
    <col min="16132" max="16133" width="1" style="38" customWidth="1"/>
    <col min="16134" max="16134" width="0.88671875" style="38" customWidth="1"/>
    <col min="16135" max="16135" width="1" style="38" customWidth="1"/>
    <col min="16136" max="16136" width="17.88671875" style="38" customWidth="1"/>
    <col min="16137" max="16140" width="1" style="38" customWidth="1"/>
    <col min="16141" max="16141" width="17.88671875" style="38" customWidth="1"/>
    <col min="16142" max="16145" width="1" style="38" customWidth="1"/>
    <col min="16146" max="16146" width="17.88671875" style="38" customWidth="1"/>
    <col min="16147" max="16150" width="1" style="38" customWidth="1"/>
    <col min="16151" max="16151" width="17.88671875" style="38" customWidth="1"/>
    <col min="16152" max="16155" width="1" style="38" customWidth="1"/>
    <col min="16156" max="16156" width="17.88671875" style="38" customWidth="1"/>
    <col min="16157" max="16160" width="1" style="38" customWidth="1"/>
    <col min="16161" max="16161" width="17.88671875" style="38" customWidth="1"/>
    <col min="16162" max="16163" width="1" style="38" customWidth="1"/>
    <col min="16164" max="16164" width="1.33203125" style="38" customWidth="1"/>
    <col min="16165" max="16165" width="1" style="38" customWidth="1"/>
    <col min="16166" max="16166" width="17.88671875" style="38" customWidth="1"/>
    <col min="16167" max="16170" width="1" style="38" customWidth="1"/>
    <col min="16171" max="16171" width="14.6640625" style="38" customWidth="1"/>
    <col min="16172" max="16175" width="1" style="38" customWidth="1"/>
    <col min="16176" max="16176" width="17.88671875" style="38" customWidth="1"/>
    <col min="16177" max="16180" width="1" style="38" customWidth="1"/>
    <col min="16181" max="16181" width="17.88671875" style="38" customWidth="1"/>
    <col min="16182" max="16185" width="1" style="38" customWidth="1"/>
    <col min="16186" max="16186" width="17.88671875" style="38" customWidth="1"/>
    <col min="16187" max="16190" width="1" style="38" customWidth="1"/>
    <col min="16191" max="16191" width="17.88671875" style="38" customWidth="1"/>
    <col min="16192" max="16195" width="1" style="38" customWidth="1"/>
    <col min="16196" max="16196" width="18.6640625" style="38" bestFit="1" customWidth="1"/>
    <col min="16197" max="16200" width="1" style="38" customWidth="1"/>
    <col min="16201" max="16201" width="17.33203125" style="38" customWidth="1"/>
    <col min="16202" max="16202" width="0.6640625" style="38" customWidth="1"/>
    <col min="16203" max="16203" width="1" style="38" customWidth="1"/>
    <col min="16204" max="16258" width="0" style="38" hidden="1" customWidth="1"/>
    <col min="16259" max="16259" width="1" style="38" customWidth="1"/>
    <col min="16260" max="16260" width="1.88671875" style="38" customWidth="1"/>
    <col min="16261" max="16261" width="11.6640625" style="38" bestFit="1" customWidth="1"/>
    <col min="16262" max="16262" width="10" style="38" customWidth="1"/>
    <col min="16263" max="16263" width="10.44140625" style="38" bestFit="1" customWidth="1"/>
    <col min="16264" max="16264" width="10" style="38" customWidth="1"/>
    <col min="16265" max="16266" width="10" style="38"/>
    <col min="16267" max="16267" width="13.44140625" style="38" bestFit="1" customWidth="1"/>
    <col min="16268" max="16384" width="10" style="38"/>
  </cols>
  <sheetData>
    <row r="1" spans="1:133" x14ac:dyDescent="0.3">
      <c r="B1" s="388"/>
      <c r="C1" s="388"/>
      <c r="D1" s="388"/>
      <c r="E1" s="165"/>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row>
    <row r="2" spans="1:133" ht="3" customHeight="1" x14ac:dyDescent="0.3">
      <c r="A2" s="388"/>
      <c r="B2" s="388"/>
      <c r="C2" s="388"/>
      <c r="D2" s="388"/>
      <c r="E2" s="165"/>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row>
    <row r="3" spans="1:133" x14ac:dyDescent="0.3">
      <c r="A3" s="388"/>
      <c r="B3" s="388"/>
      <c r="D3" s="388"/>
    </row>
    <row r="4" spans="1:133" x14ac:dyDescent="0.3">
      <c r="A4" s="388"/>
      <c r="B4" s="388"/>
      <c r="D4" s="389"/>
      <c r="E4" s="93"/>
      <c r="F4" s="411"/>
      <c r="G4" s="411"/>
    </row>
    <row r="5" spans="1:133" x14ac:dyDescent="0.3">
      <c r="A5" s="388"/>
      <c r="B5" s="388"/>
      <c r="D5" s="388"/>
      <c r="E5" s="532"/>
      <c r="F5" s="389"/>
      <c r="G5" s="389"/>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row>
    <row r="6" spans="1:133" x14ac:dyDescent="0.3">
      <c r="A6" s="388"/>
      <c r="B6" s="388"/>
      <c r="D6" s="388"/>
      <c r="E6" s="165"/>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c r="DH6" s="388"/>
      <c r="DI6" s="388"/>
      <c r="DJ6" s="388"/>
      <c r="DK6" s="388"/>
      <c r="DL6" s="388"/>
      <c r="DM6" s="388"/>
      <c r="DN6" s="388"/>
      <c r="DO6" s="388"/>
      <c r="DP6" s="388"/>
      <c r="DQ6" s="388"/>
      <c r="DR6" s="388"/>
      <c r="DS6" s="388"/>
      <c r="DT6" s="388"/>
      <c r="DU6" s="388"/>
      <c r="DV6" s="388"/>
      <c r="DW6" s="388"/>
      <c r="DX6" s="388"/>
      <c r="DY6" s="388"/>
      <c r="DZ6" s="388"/>
    </row>
    <row r="7" spans="1:133" ht="15.75" customHeight="1" x14ac:dyDescent="0.3">
      <c r="A7" s="388"/>
      <c r="B7" s="388"/>
      <c r="D7" s="462" t="s">
        <v>516</v>
      </c>
      <c r="E7" s="532"/>
      <c r="F7" s="389"/>
      <c r="G7" s="389"/>
      <c r="H7" s="388"/>
      <c r="I7" s="388"/>
      <c r="J7" s="388"/>
      <c r="K7" s="388"/>
      <c r="L7" s="388"/>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8"/>
      <c r="DG7" s="388"/>
      <c r="DH7" s="388"/>
      <c r="DI7" s="388"/>
      <c r="DJ7" s="388"/>
      <c r="DK7" s="388"/>
      <c r="DL7" s="388"/>
      <c r="DM7" s="388"/>
      <c r="DN7" s="388"/>
      <c r="DO7" s="388"/>
      <c r="DP7" s="388"/>
      <c r="DQ7" s="388"/>
      <c r="DR7" s="388"/>
      <c r="DS7" s="388"/>
      <c r="DT7" s="388"/>
      <c r="DU7" s="388"/>
      <c r="DV7" s="388"/>
      <c r="DW7" s="388"/>
      <c r="DX7" s="388"/>
      <c r="DY7" s="388"/>
      <c r="DZ7" s="388"/>
    </row>
    <row r="8" spans="1:133" ht="12.75" customHeight="1" x14ac:dyDescent="0.3">
      <c r="A8" s="388"/>
      <c r="B8" s="388"/>
      <c r="D8" s="533"/>
      <c r="E8" s="534"/>
      <c r="F8" s="535"/>
      <c r="G8" s="536"/>
      <c r="H8" s="722" t="str">
        <f>[39]summary!H8</f>
        <v>2020/21</v>
      </c>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537"/>
      <c r="BW8" s="537"/>
      <c r="BX8" s="718"/>
      <c r="BY8" s="718"/>
      <c r="BZ8" s="718"/>
      <c r="CA8" s="718"/>
      <c r="CB8" s="718"/>
      <c r="CC8" s="718"/>
      <c r="CD8" s="718"/>
      <c r="CE8" s="718"/>
      <c r="CF8" s="718"/>
      <c r="CG8" s="718"/>
      <c r="CH8" s="718"/>
      <c r="CI8" s="718"/>
      <c r="CJ8" s="718"/>
      <c r="CK8" s="718"/>
      <c r="CL8" s="718"/>
      <c r="CM8" s="718"/>
      <c r="CN8" s="718"/>
      <c r="CO8" s="718"/>
      <c r="CP8" s="718"/>
      <c r="CQ8" s="718"/>
      <c r="CR8" s="718"/>
      <c r="CS8" s="718"/>
      <c r="CT8" s="718"/>
      <c r="CU8" s="718"/>
      <c r="CV8" s="718"/>
      <c r="CW8" s="718"/>
      <c r="CX8" s="718"/>
      <c r="CY8" s="718"/>
      <c r="CZ8" s="718"/>
      <c r="DA8" s="718"/>
      <c r="DB8" s="718"/>
      <c r="DC8" s="718"/>
      <c r="DD8" s="718"/>
      <c r="DE8" s="718"/>
      <c r="DF8" s="718"/>
      <c r="DG8" s="718"/>
      <c r="DH8" s="718"/>
      <c r="DI8" s="718"/>
      <c r="DJ8" s="718"/>
      <c r="DK8" s="718"/>
      <c r="DL8" s="718"/>
      <c r="DM8" s="718"/>
      <c r="DN8" s="718"/>
      <c r="DO8" s="718"/>
      <c r="DP8" s="718"/>
      <c r="DQ8" s="718"/>
      <c r="DR8" s="718"/>
      <c r="DS8" s="718"/>
      <c r="DT8" s="718"/>
      <c r="DU8" s="718"/>
      <c r="DV8" s="718"/>
      <c r="DW8" s="718"/>
      <c r="DX8" s="718"/>
      <c r="DY8" s="718"/>
      <c r="DZ8" s="718"/>
      <c r="EA8" s="498"/>
      <c r="EB8" s="388"/>
    </row>
    <row r="9" spans="1:133" ht="12.75" customHeight="1" x14ac:dyDescent="0.3">
      <c r="A9" s="388"/>
      <c r="B9" s="388"/>
      <c r="D9" s="405"/>
      <c r="E9" s="532"/>
      <c r="F9" s="452"/>
      <c r="G9" s="451"/>
      <c r="H9" s="133" t="str">
        <f>[39]foreigndebt!G9</f>
        <v>Revised</v>
      </c>
      <c r="I9" s="133"/>
      <c r="J9" s="133"/>
      <c r="K9" s="449"/>
      <c r="L9" s="133"/>
      <c r="M9" s="133" t="s">
        <v>5</v>
      </c>
      <c r="N9" s="133"/>
      <c r="O9" s="133"/>
      <c r="P9" s="134"/>
      <c r="Q9" s="133"/>
      <c r="R9" s="133" t="s">
        <v>6</v>
      </c>
      <c r="S9" s="133"/>
      <c r="T9" s="133"/>
      <c r="U9" s="134"/>
      <c r="V9" s="133"/>
      <c r="W9" s="133" t="s">
        <v>7</v>
      </c>
      <c r="X9" s="133"/>
      <c r="Y9" s="133"/>
      <c r="Z9" s="134"/>
      <c r="AA9" s="133"/>
      <c r="AB9" s="133" t="s">
        <v>8</v>
      </c>
      <c r="AC9" s="133"/>
      <c r="AD9" s="133"/>
      <c r="AE9" s="134"/>
      <c r="AF9" s="133"/>
      <c r="AG9" s="133" t="s">
        <v>9</v>
      </c>
      <c r="AH9" s="133"/>
      <c r="AI9" s="133"/>
      <c r="AJ9" s="134"/>
      <c r="AK9" s="133"/>
      <c r="AL9" s="133" t="s">
        <v>10</v>
      </c>
      <c r="AM9" s="133"/>
      <c r="AN9" s="133"/>
      <c r="AO9" s="134"/>
      <c r="AP9" s="133"/>
      <c r="AQ9" s="133" t="s">
        <v>11</v>
      </c>
      <c r="AR9" s="133"/>
      <c r="AS9" s="133"/>
      <c r="AT9" s="134"/>
      <c r="AU9" s="133"/>
      <c r="AV9" s="133" t="s">
        <v>12</v>
      </c>
      <c r="AW9" s="133"/>
      <c r="AX9" s="133"/>
      <c r="AY9" s="134"/>
      <c r="AZ9" s="133"/>
      <c r="BA9" s="133" t="s">
        <v>13</v>
      </c>
      <c r="BB9" s="133"/>
      <c r="BC9" s="133"/>
      <c r="BD9" s="134"/>
      <c r="BE9" s="133"/>
      <c r="BF9" s="133" t="s">
        <v>14</v>
      </c>
      <c r="BG9" s="133"/>
      <c r="BH9" s="133"/>
      <c r="BI9" s="134"/>
      <c r="BJ9" s="133"/>
      <c r="BK9" s="133" t="s">
        <v>15</v>
      </c>
      <c r="BL9" s="133"/>
      <c r="BM9" s="133"/>
      <c r="BN9" s="134"/>
      <c r="BO9" s="133"/>
      <c r="BP9" s="133" t="s">
        <v>16</v>
      </c>
      <c r="BQ9" s="133"/>
      <c r="BR9" s="133"/>
      <c r="BS9" s="134"/>
      <c r="BT9" s="133"/>
      <c r="BU9" s="133" t="s">
        <v>17</v>
      </c>
      <c r="BV9" s="133"/>
      <c r="BW9" s="133"/>
      <c r="BX9" s="134"/>
      <c r="BY9" s="133"/>
      <c r="BZ9" s="133" t="s">
        <v>5</v>
      </c>
      <c r="CA9" s="133"/>
      <c r="CB9" s="133"/>
      <c r="CC9" s="134"/>
      <c r="CD9" s="133"/>
      <c r="CE9" s="133" t="s">
        <v>6</v>
      </c>
      <c r="CF9" s="133"/>
      <c r="CG9" s="133"/>
      <c r="CH9" s="134"/>
      <c r="CI9" s="133"/>
      <c r="CJ9" s="133" t="s">
        <v>7</v>
      </c>
      <c r="CK9" s="133"/>
      <c r="CL9" s="133"/>
      <c r="CM9" s="134"/>
      <c r="CN9" s="133"/>
      <c r="CO9" s="133" t="s">
        <v>8</v>
      </c>
      <c r="CP9" s="133"/>
      <c r="CQ9" s="133"/>
      <c r="CR9" s="134"/>
      <c r="CS9" s="133"/>
      <c r="CT9" s="133" t="s">
        <v>9</v>
      </c>
      <c r="CU9" s="133"/>
      <c r="CV9" s="133"/>
      <c r="CW9" s="134"/>
      <c r="CX9" s="133"/>
      <c r="CY9" s="133" t="s">
        <v>10</v>
      </c>
      <c r="CZ9" s="133"/>
      <c r="DA9" s="133"/>
      <c r="DB9" s="134"/>
      <c r="DC9" s="133"/>
      <c r="DD9" s="133" t="s">
        <v>11</v>
      </c>
      <c r="DE9" s="133"/>
      <c r="DF9" s="133"/>
      <c r="DG9" s="134"/>
      <c r="DH9" s="133"/>
      <c r="DI9" s="133" t="s">
        <v>12</v>
      </c>
      <c r="DJ9" s="133"/>
      <c r="DK9" s="133"/>
      <c r="DL9" s="134"/>
      <c r="DM9" s="133"/>
      <c r="DN9" s="133" t="s">
        <v>13</v>
      </c>
      <c r="DO9" s="133"/>
      <c r="DP9" s="133"/>
      <c r="DQ9" s="134"/>
      <c r="DR9" s="133"/>
      <c r="DS9" s="133" t="s">
        <v>14</v>
      </c>
      <c r="DT9" s="133"/>
      <c r="DU9" s="133"/>
      <c r="DV9" s="134"/>
      <c r="DW9" s="133"/>
      <c r="DX9" s="133" t="s">
        <v>15</v>
      </c>
      <c r="DY9" s="133"/>
      <c r="DZ9" s="133"/>
      <c r="EA9" s="538"/>
      <c r="EB9" s="388"/>
    </row>
    <row r="10" spans="1:133" ht="12.75" customHeight="1" x14ac:dyDescent="0.3">
      <c r="A10" s="388"/>
      <c r="B10" s="388"/>
      <c r="D10" s="399" t="s">
        <v>18</v>
      </c>
      <c r="E10" s="539"/>
      <c r="F10" s="469"/>
      <c r="G10" s="430"/>
      <c r="H10" s="402" t="s">
        <v>20</v>
      </c>
      <c r="I10" s="402"/>
      <c r="J10" s="122"/>
      <c r="K10" s="401"/>
      <c r="L10" s="402"/>
      <c r="M10" s="400"/>
      <c r="N10" s="400"/>
      <c r="O10" s="400"/>
      <c r="P10" s="469"/>
      <c r="Q10" s="400"/>
      <c r="R10" s="400"/>
      <c r="S10" s="400"/>
      <c r="T10" s="400"/>
      <c r="U10" s="469"/>
      <c r="V10" s="400"/>
      <c r="W10" s="400"/>
      <c r="X10" s="400"/>
      <c r="Y10" s="400"/>
      <c r="Z10" s="469"/>
      <c r="AA10" s="400"/>
      <c r="AB10" s="400"/>
      <c r="AC10" s="400"/>
      <c r="AD10" s="400"/>
      <c r="AE10" s="469"/>
      <c r="AF10" s="400"/>
      <c r="AG10" s="400"/>
      <c r="AH10" s="400"/>
      <c r="AI10" s="400"/>
      <c r="AJ10" s="469"/>
      <c r="AK10" s="400"/>
      <c r="AL10" s="400"/>
      <c r="AM10" s="400"/>
      <c r="AN10" s="400"/>
      <c r="AO10" s="469"/>
      <c r="AP10" s="400"/>
      <c r="AQ10" s="400"/>
      <c r="AR10" s="400"/>
      <c r="AS10" s="400"/>
      <c r="AT10" s="469"/>
      <c r="AU10" s="400"/>
      <c r="AV10" s="400"/>
      <c r="AW10" s="400"/>
      <c r="AX10" s="400"/>
      <c r="AY10" s="469"/>
      <c r="AZ10" s="400"/>
      <c r="BA10" s="400"/>
      <c r="BB10" s="400"/>
      <c r="BC10" s="400"/>
      <c r="BD10" s="469"/>
      <c r="BE10" s="400"/>
      <c r="BF10" s="400"/>
      <c r="BG10" s="400"/>
      <c r="BH10" s="400"/>
      <c r="BI10" s="469"/>
      <c r="BJ10" s="400"/>
      <c r="BK10" s="400"/>
      <c r="BL10" s="400"/>
      <c r="BM10" s="400"/>
      <c r="BN10" s="469"/>
      <c r="BO10" s="400"/>
      <c r="BP10" s="400"/>
      <c r="BQ10" s="400"/>
      <c r="BR10" s="400"/>
      <c r="BS10" s="469"/>
      <c r="BT10" s="400"/>
      <c r="BU10" s="400"/>
      <c r="BV10" s="400"/>
      <c r="BW10" s="400"/>
      <c r="BX10" s="401"/>
      <c r="BY10" s="402"/>
      <c r="BZ10" s="400"/>
      <c r="CA10" s="400"/>
      <c r="CB10" s="400"/>
      <c r="CC10" s="469"/>
      <c r="CD10" s="400"/>
      <c r="CE10" s="400"/>
      <c r="CF10" s="400"/>
      <c r="CG10" s="400"/>
      <c r="CH10" s="469"/>
      <c r="CI10" s="400"/>
      <c r="CJ10" s="400"/>
      <c r="CK10" s="400"/>
      <c r="CL10" s="400"/>
      <c r="CM10" s="469"/>
      <c r="CN10" s="400"/>
      <c r="CO10" s="400"/>
      <c r="CP10" s="400"/>
      <c r="CQ10" s="400"/>
      <c r="CR10" s="469"/>
      <c r="CS10" s="400"/>
      <c r="CT10" s="400"/>
      <c r="CU10" s="400"/>
      <c r="CV10" s="400"/>
      <c r="CW10" s="469"/>
      <c r="CX10" s="400"/>
      <c r="CY10" s="400"/>
      <c r="CZ10" s="400"/>
      <c r="DA10" s="400"/>
      <c r="DB10" s="469"/>
      <c r="DC10" s="400"/>
      <c r="DD10" s="400"/>
      <c r="DE10" s="400"/>
      <c r="DF10" s="400"/>
      <c r="DG10" s="469"/>
      <c r="DH10" s="400"/>
      <c r="DI10" s="400"/>
      <c r="DJ10" s="400"/>
      <c r="DK10" s="400"/>
      <c r="DL10" s="469"/>
      <c r="DM10" s="400"/>
      <c r="DN10" s="400"/>
      <c r="DO10" s="400"/>
      <c r="DP10" s="400"/>
      <c r="DQ10" s="469"/>
      <c r="DR10" s="400"/>
      <c r="DS10" s="400"/>
      <c r="DT10" s="400"/>
      <c r="DU10" s="400"/>
      <c r="DV10" s="469"/>
      <c r="DW10" s="400"/>
      <c r="DX10" s="400"/>
      <c r="DY10" s="400"/>
      <c r="DZ10" s="400"/>
      <c r="EA10" s="498"/>
      <c r="EB10" s="388"/>
    </row>
    <row r="11" spans="1:133" x14ac:dyDescent="0.3">
      <c r="A11" s="388"/>
      <c r="B11" s="388"/>
      <c r="D11" s="398"/>
      <c r="E11" s="165"/>
      <c r="F11" s="404"/>
      <c r="G11" s="388"/>
      <c r="H11" s="388"/>
      <c r="I11" s="388"/>
      <c r="J11" s="388"/>
      <c r="K11" s="404"/>
      <c r="L11" s="388"/>
      <c r="M11" s="388"/>
      <c r="N11" s="388"/>
      <c r="O11" s="388"/>
      <c r="P11" s="404"/>
      <c r="Q11" s="388"/>
      <c r="R11" s="388"/>
      <c r="S11" s="388"/>
      <c r="T11" s="388"/>
      <c r="U11" s="404"/>
      <c r="V11" s="388"/>
      <c r="W11" s="388"/>
      <c r="X11" s="388"/>
      <c r="Y11" s="388"/>
      <c r="Z11" s="404"/>
      <c r="AA11" s="388"/>
      <c r="AB11" s="388"/>
      <c r="AC11" s="388"/>
      <c r="AD11" s="388"/>
      <c r="AE11" s="404"/>
      <c r="AF11" s="388"/>
      <c r="AG11" s="388"/>
      <c r="AH11" s="388"/>
      <c r="AI11" s="388"/>
      <c r="AJ11" s="404"/>
      <c r="AK11" s="388"/>
      <c r="AL11" s="388"/>
      <c r="AM11" s="388"/>
      <c r="AN11" s="388"/>
      <c r="AO11" s="404"/>
      <c r="AP11" s="388"/>
      <c r="AQ11" s="388"/>
      <c r="AR11" s="388"/>
      <c r="AS11" s="388"/>
      <c r="AT11" s="404"/>
      <c r="AU11" s="388"/>
      <c r="AV11" s="388"/>
      <c r="AW11" s="388"/>
      <c r="AX11" s="388"/>
      <c r="AY11" s="404"/>
      <c r="AZ11" s="388"/>
      <c r="BA11" s="388"/>
      <c r="BB11" s="388"/>
      <c r="BC11" s="388"/>
      <c r="BD11" s="404"/>
      <c r="BE11" s="388"/>
      <c r="BF11" s="388"/>
      <c r="BG11" s="388"/>
      <c r="BH11" s="388"/>
      <c r="BI11" s="404"/>
      <c r="BJ11" s="388"/>
      <c r="BK11" s="388"/>
      <c r="BL11" s="388"/>
      <c r="BM11" s="388"/>
      <c r="BN11" s="404"/>
      <c r="BO11" s="388"/>
      <c r="BP11" s="388"/>
      <c r="BQ11" s="388"/>
      <c r="BR11" s="388"/>
      <c r="BS11" s="404"/>
      <c r="BT11" s="388"/>
      <c r="BU11" s="388"/>
      <c r="BV11" s="388"/>
      <c r="BW11" s="388"/>
      <c r="BX11" s="404"/>
      <c r="BY11" s="388"/>
      <c r="BZ11" s="388"/>
      <c r="CA11" s="388"/>
      <c r="CB11" s="388"/>
      <c r="CC11" s="404"/>
      <c r="CD11" s="388"/>
      <c r="CE11" s="388"/>
      <c r="CF11" s="388"/>
      <c r="CG11" s="388"/>
      <c r="CH11" s="404"/>
      <c r="CI11" s="388"/>
      <c r="CJ11" s="388"/>
      <c r="CK11" s="388"/>
      <c r="CL11" s="388"/>
      <c r="CM11" s="404"/>
      <c r="CN11" s="388"/>
      <c r="CO11" s="388"/>
      <c r="CP11" s="388"/>
      <c r="CQ11" s="388"/>
      <c r="CR11" s="404"/>
      <c r="CS11" s="388"/>
      <c r="CT11" s="388"/>
      <c r="CU11" s="388"/>
      <c r="CV11" s="388"/>
      <c r="CW11" s="404"/>
      <c r="CX11" s="388"/>
      <c r="CY11" s="388"/>
      <c r="CZ11" s="388"/>
      <c r="DA11" s="388"/>
      <c r="DB11" s="404"/>
      <c r="DC11" s="388"/>
      <c r="DD11" s="388"/>
      <c r="DE11" s="388"/>
      <c r="DF11" s="388"/>
      <c r="DG11" s="404"/>
      <c r="DH11" s="388"/>
      <c r="DI11" s="388"/>
      <c r="DJ11" s="388"/>
      <c r="DK11" s="388"/>
      <c r="DL11" s="404"/>
      <c r="DM11" s="388"/>
      <c r="DN11" s="388"/>
      <c r="DO11" s="388"/>
      <c r="DP11" s="388"/>
      <c r="DQ11" s="404"/>
      <c r="DR11" s="388"/>
      <c r="DS11" s="388"/>
      <c r="DT11" s="388"/>
      <c r="DU11" s="388"/>
      <c r="DV11" s="404"/>
      <c r="DW11" s="388"/>
      <c r="DX11" s="388"/>
      <c r="DY11" s="388"/>
      <c r="DZ11" s="388"/>
      <c r="EA11" s="398"/>
      <c r="EB11" s="388"/>
    </row>
    <row r="12" spans="1:133" s="411" customFormat="1" x14ac:dyDescent="0.3">
      <c r="A12" s="389"/>
      <c r="B12" s="389"/>
      <c r="C12" s="389"/>
      <c r="D12" s="405" t="s">
        <v>517</v>
      </c>
      <c r="E12" s="165" t="s">
        <v>86</v>
      </c>
      <c r="F12" s="404"/>
      <c r="G12" s="388"/>
      <c r="H12" s="53">
        <f>+H13-H17</f>
        <v>-58956332</v>
      </c>
      <c r="I12" s="53"/>
      <c r="J12" s="53"/>
      <c r="K12" s="327"/>
      <c r="L12" s="53"/>
      <c r="M12" s="53">
        <f>+M13-M17</f>
        <v>-18484170</v>
      </c>
      <c r="N12" s="53"/>
      <c r="O12" s="53"/>
      <c r="P12" s="327"/>
      <c r="Q12" s="53"/>
      <c r="R12" s="53">
        <f>+R13-R17</f>
        <v>3349854</v>
      </c>
      <c r="S12" s="53"/>
      <c r="T12" s="53"/>
      <c r="U12" s="327"/>
      <c r="V12" s="53"/>
      <c r="W12" s="53">
        <f>+W13-W17</f>
        <v>-22973000</v>
      </c>
      <c r="X12" s="53"/>
      <c r="Y12" s="53"/>
      <c r="Z12" s="327"/>
      <c r="AA12" s="53"/>
      <c r="AB12" s="53">
        <f>+AB13-AB17</f>
        <v>-53649787</v>
      </c>
      <c r="AC12" s="53"/>
      <c r="AD12" s="53"/>
      <c r="AE12" s="327"/>
      <c r="AF12" s="53"/>
      <c r="AG12" s="53">
        <f>+AG13-AG17</f>
        <v>41961434</v>
      </c>
      <c r="AH12" s="53"/>
      <c r="AI12" s="53"/>
      <c r="AJ12" s="327"/>
      <c r="AK12" s="53"/>
      <c r="AL12" s="53">
        <f>+AL13-AL17</f>
        <v>-13252498</v>
      </c>
      <c r="AM12" s="53"/>
      <c r="AN12" s="53"/>
      <c r="AO12" s="327"/>
      <c r="AP12" s="53"/>
      <c r="AQ12" s="53">
        <f>+AQ13-AQ17</f>
        <v>-40961985</v>
      </c>
      <c r="AR12" s="53"/>
      <c r="AS12" s="53"/>
      <c r="AT12" s="327"/>
      <c r="AU12" s="53"/>
      <c r="AV12" s="53">
        <f>+AV13-AV17</f>
        <v>-19510192</v>
      </c>
      <c r="AW12" s="53"/>
      <c r="AX12" s="53"/>
      <c r="AY12" s="327"/>
      <c r="AZ12" s="53"/>
      <c r="BA12" s="53">
        <f>+BA13-BA17</f>
        <v>-18762903</v>
      </c>
      <c r="BB12" s="53"/>
      <c r="BC12" s="53"/>
      <c r="BD12" s="327"/>
      <c r="BE12" s="53"/>
      <c r="BF12" s="53">
        <f>+BF13-BF17</f>
        <v>-420333</v>
      </c>
      <c r="BG12" s="53"/>
      <c r="BH12" s="53"/>
      <c r="BI12" s="327"/>
      <c r="BJ12" s="53"/>
      <c r="BK12" s="53">
        <f>+BK13-BK17</f>
        <v>-11986294</v>
      </c>
      <c r="BL12" s="53"/>
      <c r="BM12" s="53"/>
      <c r="BN12" s="327"/>
      <c r="BO12" s="53"/>
      <c r="BP12" s="53">
        <f>+BP13-BP17</f>
        <v>52747862</v>
      </c>
      <c r="BQ12" s="53"/>
      <c r="BR12" s="53"/>
      <c r="BS12" s="327"/>
      <c r="BT12" s="53"/>
      <c r="BU12" s="53">
        <f>+BU13-BU17</f>
        <v>-101942012</v>
      </c>
      <c r="BV12" s="53"/>
      <c r="BW12" s="53"/>
      <c r="BX12" s="327"/>
      <c r="BY12" s="53"/>
      <c r="BZ12" s="53">
        <f>+BZ13-BZ17</f>
        <v>39161985</v>
      </c>
      <c r="CA12" s="53"/>
      <c r="CB12" s="53"/>
      <c r="CC12" s="327"/>
      <c r="CD12" s="53"/>
      <c r="CE12" s="53">
        <f>+CE13-CE17</f>
        <v>6533576</v>
      </c>
      <c r="CF12" s="53"/>
      <c r="CG12" s="53"/>
      <c r="CH12" s="327"/>
      <c r="CI12" s="53"/>
      <c r="CJ12" s="53">
        <f>+CJ13-CJ17</f>
        <v>-80194837</v>
      </c>
      <c r="CK12" s="53"/>
      <c r="CL12" s="53"/>
      <c r="CM12" s="327"/>
      <c r="CN12" s="53"/>
      <c r="CO12" s="53">
        <f>+CO13-CO17</f>
        <v>71485782</v>
      </c>
      <c r="CP12" s="53"/>
      <c r="CQ12" s="53"/>
      <c r="CR12" s="327"/>
      <c r="CS12" s="53"/>
      <c r="CT12" s="53">
        <f>+CT13-CT17</f>
        <v>10515236</v>
      </c>
      <c r="CU12" s="53"/>
      <c r="CV12" s="53"/>
      <c r="CW12" s="327"/>
      <c r="CX12" s="53"/>
      <c r="CY12" s="53">
        <f>+CY13-CY17</f>
        <v>-104528279</v>
      </c>
      <c r="CZ12" s="53"/>
      <c r="DA12" s="53"/>
      <c r="DB12" s="327"/>
      <c r="DC12" s="53"/>
      <c r="DD12" s="53">
        <f>+DD13-DD17</f>
        <v>2731873</v>
      </c>
      <c r="DE12" s="53"/>
      <c r="DF12" s="53"/>
      <c r="DG12" s="327"/>
      <c r="DH12" s="53"/>
      <c r="DI12" s="53">
        <f>+DI13-DI17</f>
        <v>-9369739</v>
      </c>
      <c r="DJ12" s="53"/>
      <c r="DK12" s="53"/>
      <c r="DL12" s="327"/>
      <c r="DM12" s="53"/>
      <c r="DN12" s="53">
        <f>+DN13-DN17</f>
        <v>-7896523</v>
      </c>
      <c r="DO12" s="53"/>
      <c r="DP12" s="53"/>
      <c r="DQ12" s="327"/>
      <c r="DR12" s="53"/>
      <c r="DS12" s="53">
        <f>+DS13-DS17</f>
        <v>33364654</v>
      </c>
      <c r="DT12" s="53"/>
      <c r="DU12" s="53"/>
      <c r="DV12" s="327"/>
      <c r="DW12" s="53"/>
      <c r="DX12" s="53">
        <f>+DX13-DX17</f>
        <v>-27939762</v>
      </c>
      <c r="DY12" s="53"/>
      <c r="DZ12" s="53"/>
      <c r="EA12" s="54"/>
      <c r="EB12" s="389"/>
    </row>
    <row r="13" spans="1:133" x14ac:dyDescent="0.3">
      <c r="A13" s="388"/>
      <c r="B13" s="388"/>
      <c r="C13" s="388"/>
      <c r="D13" s="398" t="s">
        <v>518</v>
      </c>
      <c r="E13" s="165"/>
      <c r="F13" s="404"/>
      <c r="G13" s="412"/>
      <c r="H13" s="540">
        <f>SUM(H14:H15)</f>
        <v>235661668</v>
      </c>
      <c r="I13" s="541"/>
      <c r="J13" s="291"/>
      <c r="K13" s="290"/>
      <c r="L13" s="542"/>
      <c r="M13" s="540">
        <f>SUM(M14:M15)</f>
        <v>235661668</v>
      </c>
      <c r="N13" s="541"/>
      <c r="O13" s="291"/>
      <c r="P13" s="290"/>
      <c r="Q13" s="542"/>
      <c r="R13" s="540">
        <f>SUM(R14:R15)</f>
        <v>254145838</v>
      </c>
      <c r="S13" s="541"/>
      <c r="T13" s="291"/>
      <c r="U13" s="290"/>
      <c r="V13" s="542"/>
      <c r="W13" s="540">
        <f>SUM(W14:W15)</f>
        <v>250795984</v>
      </c>
      <c r="X13" s="541"/>
      <c r="Y13" s="291"/>
      <c r="Z13" s="290"/>
      <c r="AA13" s="542"/>
      <c r="AB13" s="540">
        <f>SUM(AB14:AB15)</f>
        <v>273768984</v>
      </c>
      <c r="AC13" s="541"/>
      <c r="AD13" s="291"/>
      <c r="AE13" s="290"/>
      <c r="AF13" s="542"/>
      <c r="AG13" s="540">
        <f>SUM(AG14:AG15)</f>
        <v>327418771</v>
      </c>
      <c r="AH13" s="541"/>
      <c r="AI13" s="291"/>
      <c r="AJ13" s="290"/>
      <c r="AK13" s="542"/>
      <c r="AL13" s="540">
        <f>SUM(AL14:AL15)</f>
        <v>285457337</v>
      </c>
      <c r="AM13" s="541"/>
      <c r="AN13" s="291"/>
      <c r="AO13" s="290"/>
      <c r="AP13" s="542"/>
      <c r="AQ13" s="540">
        <f>SUM(AQ14:AQ15)</f>
        <v>298709835</v>
      </c>
      <c r="AR13" s="541"/>
      <c r="AS13" s="291"/>
      <c r="AT13" s="290"/>
      <c r="AU13" s="542"/>
      <c r="AV13" s="540">
        <f>SUM(AV14:AV15)</f>
        <v>339671820</v>
      </c>
      <c r="AW13" s="541"/>
      <c r="AX13" s="291"/>
      <c r="AY13" s="290"/>
      <c r="AZ13" s="542"/>
      <c r="BA13" s="540">
        <f>SUM(BA14:BA15)</f>
        <v>359182012</v>
      </c>
      <c r="BB13" s="541"/>
      <c r="BC13" s="291"/>
      <c r="BD13" s="290"/>
      <c r="BE13" s="542"/>
      <c r="BF13" s="540">
        <f>SUM(BF14:BF15)</f>
        <v>377944915</v>
      </c>
      <c r="BG13" s="541"/>
      <c r="BH13" s="291"/>
      <c r="BI13" s="290"/>
      <c r="BJ13" s="542"/>
      <c r="BK13" s="540">
        <f>SUM(BK14:BK15)</f>
        <v>378365248</v>
      </c>
      <c r="BL13" s="541"/>
      <c r="BM13" s="291"/>
      <c r="BN13" s="290"/>
      <c r="BO13" s="542"/>
      <c r="BP13" s="540">
        <f>SUM(BP14:BP15)</f>
        <v>390351542</v>
      </c>
      <c r="BQ13" s="541"/>
      <c r="BR13" s="291"/>
      <c r="BS13" s="290"/>
      <c r="BT13" s="542"/>
      <c r="BU13" s="540">
        <f>SUM(BU14:BU15)</f>
        <v>235661668</v>
      </c>
      <c r="BV13" s="541"/>
      <c r="BW13" s="291"/>
      <c r="BX13" s="290"/>
      <c r="BY13" s="542"/>
      <c r="BZ13" s="540">
        <f>SUM(BZ14:BZ15)</f>
        <v>238135653</v>
      </c>
      <c r="CA13" s="541"/>
      <c r="CB13" s="291"/>
      <c r="CC13" s="290"/>
      <c r="CD13" s="542"/>
      <c r="CE13" s="540">
        <f>SUM(CE14:CE15)</f>
        <v>198973668</v>
      </c>
      <c r="CF13" s="541"/>
      <c r="CG13" s="291"/>
      <c r="CH13" s="290"/>
      <c r="CI13" s="542"/>
      <c r="CJ13" s="540">
        <f>SUM(CJ14:CJ15)</f>
        <v>192440092</v>
      </c>
      <c r="CK13" s="541"/>
      <c r="CL13" s="291"/>
      <c r="CM13" s="290"/>
      <c r="CN13" s="542"/>
      <c r="CO13" s="540">
        <f>SUM(CO14:CO15)</f>
        <v>272634929</v>
      </c>
      <c r="CP13" s="541"/>
      <c r="CQ13" s="291"/>
      <c r="CR13" s="290"/>
      <c r="CS13" s="542"/>
      <c r="CT13" s="540">
        <f>SUM(CT14:CT15)</f>
        <v>201149147</v>
      </c>
      <c r="CU13" s="541"/>
      <c r="CV13" s="291"/>
      <c r="CW13" s="290"/>
      <c r="CX13" s="542"/>
      <c r="CY13" s="540">
        <f>SUM(CY14:CY15)</f>
        <v>190633911</v>
      </c>
      <c r="CZ13" s="541"/>
      <c r="DA13" s="291"/>
      <c r="DB13" s="290"/>
      <c r="DC13" s="542"/>
      <c r="DD13" s="540">
        <f>SUM(DD14:DD15)</f>
        <v>295162190</v>
      </c>
      <c r="DE13" s="541"/>
      <c r="DF13" s="291"/>
      <c r="DG13" s="290"/>
      <c r="DH13" s="542"/>
      <c r="DI13" s="540">
        <f>SUM(DI14:DI15)</f>
        <v>292430317</v>
      </c>
      <c r="DJ13" s="541"/>
      <c r="DK13" s="291"/>
      <c r="DL13" s="290"/>
      <c r="DM13" s="542"/>
      <c r="DN13" s="540">
        <f>SUM(DN14:DN15)</f>
        <v>301800056</v>
      </c>
      <c r="DO13" s="541"/>
      <c r="DP13" s="291"/>
      <c r="DQ13" s="290"/>
      <c r="DR13" s="542"/>
      <c r="DS13" s="540">
        <f>SUM(DS14:DS15)</f>
        <v>309696579</v>
      </c>
      <c r="DT13" s="541"/>
      <c r="DU13" s="291"/>
      <c r="DV13" s="290"/>
      <c r="DW13" s="542"/>
      <c r="DX13" s="540">
        <f>SUM(DX14:DX15)</f>
        <v>276331925</v>
      </c>
      <c r="DY13" s="541"/>
      <c r="DZ13" s="291"/>
      <c r="EA13" s="543"/>
      <c r="EB13" s="388"/>
      <c r="EC13" s="411"/>
    </row>
    <row r="14" spans="1:133" x14ac:dyDescent="0.3">
      <c r="A14" s="388"/>
      <c r="B14" s="388"/>
      <c r="C14" s="388"/>
      <c r="D14" s="398" t="s">
        <v>519</v>
      </c>
      <c r="E14" s="165"/>
      <c r="F14" s="404"/>
      <c r="G14" s="404"/>
      <c r="H14" s="544">
        <v>191125443</v>
      </c>
      <c r="I14" s="76"/>
      <c r="J14" s="291"/>
      <c r="K14" s="290"/>
      <c r="L14" s="290"/>
      <c r="M14" s="544">
        <v>191125443</v>
      </c>
      <c r="N14" s="76"/>
      <c r="O14" s="291"/>
      <c r="P14" s="290"/>
      <c r="Q14" s="290"/>
      <c r="R14" s="544">
        <f>M18</f>
        <v>188398825</v>
      </c>
      <c r="S14" s="76"/>
      <c r="T14" s="291"/>
      <c r="U14" s="290"/>
      <c r="V14" s="290"/>
      <c r="W14" s="544">
        <f>R18</f>
        <v>183966537</v>
      </c>
      <c r="X14" s="76"/>
      <c r="Y14" s="291"/>
      <c r="Z14" s="290"/>
      <c r="AA14" s="290"/>
      <c r="AB14" s="544">
        <f>W18</f>
        <v>174786407</v>
      </c>
      <c r="AC14" s="76"/>
      <c r="AD14" s="291"/>
      <c r="AE14" s="290"/>
      <c r="AF14" s="290"/>
      <c r="AG14" s="544">
        <f>AB18</f>
        <v>216993276</v>
      </c>
      <c r="AH14" s="76"/>
      <c r="AI14" s="291"/>
      <c r="AJ14" s="290"/>
      <c r="AK14" s="290"/>
      <c r="AL14" s="544">
        <f>AG18</f>
        <v>178904480</v>
      </c>
      <c r="AM14" s="76"/>
      <c r="AN14" s="291"/>
      <c r="AO14" s="290"/>
      <c r="AP14" s="290"/>
      <c r="AQ14" s="544">
        <f>AL18</f>
        <v>162851119</v>
      </c>
      <c r="AR14" s="76"/>
      <c r="AS14" s="291"/>
      <c r="AT14" s="290"/>
      <c r="AU14" s="290"/>
      <c r="AV14" s="544">
        <f>AQ18</f>
        <v>150789653</v>
      </c>
      <c r="AW14" s="76"/>
      <c r="AX14" s="291"/>
      <c r="AY14" s="290"/>
      <c r="AZ14" s="290"/>
      <c r="BA14" s="544">
        <f>AV18</f>
        <v>150112405</v>
      </c>
      <c r="BB14" s="76"/>
      <c r="BC14" s="291"/>
      <c r="BD14" s="290"/>
      <c r="BE14" s="290"/>
      <c r="BF14" s="544">
        <f>BA18</f>
        <v>143765580</v>
      </c>
      <c r="BG14" s="76"/>
      <c r="BH14" s="291"/>
      <c r="BI14" s="290"/>
      <c r="BJ14" s="290"/>
      <c r="BK14" s="544">
        <f>BF18</f>
        <v>142480438</v>
      </c>
      <c r="BL14" s="76"/>
      <c r="BM14" s="291"/>
      <c r="BN14" s="290"/>
      <c r="BO14" s="290"/>
      <c r="BP14" s="544">
        <f>BK18</f>
        <v>141649872</v>
      </c>
      <c r="BQ14" s="76"/>
      <c r="BR14" s="291"/>
      <c r="BS14" s="290"/>
      <c r="BT14" s="290"/>
      <c r="BU14" s="545">
        <f>M14</f>
        <v>191125443</v>
      </c>
      <c r="BV14" s="76"/>
      <c r="BW14" s="291"/>
      <c r="BX14" s="290"/>
      <c r="BY14" s="290"/>
      <c r="BZ14" s="544">
        <v>174717635</v>
      </c>
      <c r="CA14" s="76"/>
      <c r="CB14" s="291"/>
      <c r="CC14" s="290"/>
      <c r="CD14" s="290"/>
      <c r="CE14" s="544">
        <f>BZ18</f>
        <v>171432024</v>
      </c>
      <c r="CF14" s="76"/>
      <c r="CG14" s="291"/>
      <c r="CH14" s="290"/>
      <c r="CI14" s="290"/>
      <c r="CJ14" s="544">
        <f>CE18</f>
        <v>159100607</v>
      </c>
      <c r="CK14" s="76"/>
      <c r="CL14" s="291"/>
      <c r="CM14" s="290"/>
      <c r="CN14" s="290"/>
      <c r="CO14" s="544">
        <f>CJ18</f>
        <v>157556488</v>
      </c>
      <c r="CP14" s="76"/>
      <c r="CQ14" s="291"/>
      <c r="CR14" s="290"/>
      <c r="CS14" s="290"/>
      <c r="CT14" s="544">
        <f>CO18</f>
        <v>154393121</v>
      </c>
      <c r="CU14" s="76"/>
      <c r="CV14" s="291"/>
      <c r="CW14" s="290"/>
      <c r="CX14" s="290"/>
      <c r="CY14" s="544">
        <f>CT18</f>
        <v>153790115</v>
      </c>
      <c r="CZ14" s="76"/>
      <c r="DA14" s="291"/>
      <c r="DB14" s="290"/>
      <c r="DC14" s="290"/>
      <c r="DD14" s="544">
        <f>CY18</f>
        <v>226475319</v>
      </c>
      <c r="DE14" s="76"/>
      <c r="DF14" s="291"/>
      <c r="DG14" s="290"/>
      <c r="DH14" s="290"/>
      <c r="DI14" s="544">
        <f>DD18</f>
        <v>223710506</v>
      </c>
      <c r="DJ14" s="76"/>
      <c r="DK14" s="291"/>
      <c r="DL14" s="290"/>
      <c r="DM14" s="290"/>
      <c r="DN14" s="544">
        <f>DI18</f>
        <v>222808884</v>
      </c>
      <c r="DO14" s="76"/>
      <c r="DP14" s="291"/>
      <c r="DQ14" s="290"/>
      <c r="DR14" s="290"/>
      <c r="DS14" s="544">
        <f>DN18</f>
        <v>216296990</v>
      </c>
      <c r="DT14" s="76"/>
      <c r="DU14" s="291"/>
      <c r="DV14" s="290"/>
      <c r="DW14" s="290"/>
      <c r="DX14" s="544">
        <f>DS18</f>
        <v>214990489</v>
      </c>
      <c r="DY14" s="76"/>
      <c r="DZ14" s="291"/>
      <c r="EA14" s="543"/>
      <c r="EB14" s="388"/>
    </row>
    <row r="15" spans="1:133" x14ac:dyDescent="0.3">
      <c r="A15" s="388"/>
      <c r="B15" s="388"/>
      <c r="C15" s="388"/>
      <c r="D15" s="398" t="s">
        <v>520</v>
      </c>
      <c r="E15" s="165"/>
      <c r="F15" s="404"/>
      <c r="G15" s="404"/>
      <c r="H15" s="546">
        <v>44536225</v>
      </c>
      <c r="I15" s="76"/>
      <c r="J15" s="291"/>
      <c r="K15" s="290"/>
      <c r="L15" s="290"/>
      <c r="M15" s="546">
        <v>44536225</v>
      </c>
      <c r="N15" s="76"/>
      <c r="O15" s="291"/>
      <c r="P15" s="290"/>
      <c r="Q15" s="290"/>
      <c r="R15" s="546">
        <f>M19</f>
        <v>65747013</v>
      </c>
      <c r="S15" s="76"/>
      <c r="T15" s="291"/>
      <c r="U15" s="290"/>
      <c r="V15" s="290"/>
      <c r="W15" s="546">
        <f>R19</f>
        <v>66829447</v>
      </c>
      <c r="X15" s="76"/>
      <c r="Y15" s="291"/>
      <c r="Z15" s="290"/>
      <c r="AA15" s="290"/>
      <c r="AB15" s="546">
        <f>W19</f>
        <v>98982577</v>
      </c>
      <c r="AC15" s="76"/>
      <c r="AD15" s="291"/>
      <c r="AE15" s="290"/>
      <c r="AF15" s="290"/>
      <c r="AG15" s="546">
        <f>AB19</f>
        <v>110425495</v>
      </c>
      <c r="AH15" s="76"/>
      <c r="AI15" s="291"/>
      <c r="AJ15" s="290"/>
      <c r="AK15" s="290"/>
      <c r="AL15" s="546">
        <f>AG19</f>
        <v>106552857</v>
      </c>
      <c r="AM15" s="76"/>
      <c r="AN15" s="291"/>
      <c r="AO15" s="290"/>
      <c r="AP15" s="290"/>
      <c r="AQ15" s="546">
        <f>AL19</f>
        <v>135858716</v>
      </c>
      <c r="AR15" s="76"/>
      <c r="AS15" s="291"/>
      <c r="AT15" s="290"/>
      <c r="AU15" s="290"/>
      <c r="AV15" s="546">
        <f>AQ19</f>
        <v>188882167</v>
      </c>
      <c r="AW15" s="76"/>
      <c r="AX15" s="291"/>
      <c r="AY15" s="290"/>
      <c r="AZ15" s="290"/>
      <c r="BA15" s="546">
        <f>AV19</f>
        <v>209069607</v>
      </c>
      <c r="BB15" s="76"/>
      <c r="BC15" s="291"/>
      <c r="BD15" s="290"/>
      <c r="BE15" s="290"/>
      <c r="BF15" s="546">
        <f>BA19</f>
        <v>234179335</v>
      </c>
      <c r="BG15" s="76"/>
      <c r="BH15" s="291"/>
      <c r="BI15" s="290"/>
      <c r="BJ15" s="290"/>
      <c r="BK15" s="546">
        <f>BF19</f>
        <v>235884810</v>
      </c>
      <c r="BL15" s="76"/>
      <c r="BM15" s="291"/>
      <c r="BN15" s="290"/>
      <c r="BO15" s="290"/>
      <c r="BP15" s="546">
        <f>BK19</f>
        <v>248701670</v>
      </c>
      <c r="BQ15" s="76"/>
      <c r="BR15" s="291"/>
      <c r="BS15" s="290"/>
      <c r="BT15" s="290"/>
      <c r="BU15" s="89">
        <f>M15</f>
        <v>44536225</v>
      </c>
      <c r="BV15" s="76"/>
      <c r="BW15" s="291"/>
      <c r="BX15" s="290"/>
      <c r="BY15" s="290"/>
      <c r="BZ15" s="546">
        <v>63418018</v>
      </c>
      <c r="CA15" s="76"/>
      <c r="CB15" s="291"/>
      <c r="CC15" s="290"/>
      <c r="CD15" s="290"/>
      <c r="CE15" s="546">
        <f>BZ19</f>
        <v>27541644</v>
      </c>
      <c r="CF15" s="76"/>
      <c r="CG15" s="291"/>
      <c r="CH15" s="290"/>
      <c r="CI15" s="290"/>
      <c r="CJ15" s="546">
        <f>CE19</f>
        <v>33339485</v>
      </c>
      <c r="CK15" s="76"/>
      <c r="CL15" s="291"/>
      <c r="CM15" s="290"/>
      <c r="CN15" s="290"/>
      <c r="CO15" s="546">
        <f>CJ19</f>
        <v>115078441</v>
      </c>
      <c r="CP15" s="76"/>
      <c r="CQ15" s="291"/>
      <c r="CR15" s="290"/>
      <c r="CS15" s="290"/>
      <c r="CT15" s="546">
        <f>CO19</f>
        <v>46756026</v>
      </c>
      <c r="CU15" s="76"/>
      <c r="CV15" s="291"/>
      <c r="CW15" s="290"/>
      <c r="CX15" s="290"/>
      <c r="CY15" s="546">
        <f>CT19</f>
        <v>36843796</v>
      </c>
      <c r="CZ15" s="76"/>
      <c r="DA15" s="291"/>
      <c r="DB15" s="290"/>
      <c r="DC15" s="290"/>
      <c r="DD15" s="546">
        <f>CY19</f>
        <v>68686871</v>
      </c>
      <c r="DE15" s="76"/>
      <c r="DF15" s="291"/>
      <c r="DG15" s="290"/>
      <c r="DH15" s="290"/>
      <c r="DI15" s="546">
        <f>DD19</f>
        <v>68719811</v>
      </c>
      <c r="DJ15" s="76"/>
      <c r="DK15" s="291"/>
      <c r="DL15" s="290"/>
      <c r="DM15" s="290"/>
      <c r="DN15" s="546">
        <f>DI19</f>
        <v>78991172</v>
      </c>
      <c r="DO15" s="76"/>
      <c r="DP15" s="291"/>
      <c r="DQ15" s="290"/>
      <c r="DR15" s="290"/>
      <c r="DS15" s="546">
        <f>DN19</f>
        <v>93399589</v>
      </c>
      <c r="DT15" s="76"/>
      <c r="DU15" s="291"/>
      <c r="DV15" s="290"/>
      <c r="DW15" s="290"/>
      <c r="DX15" s="546">
        <f>DS19</f>
        <v>61341436</v>
      </c>
      <c r="DY15" s="76"/>
      <c r="DZ15" s="291"/>
      <c r="EA15" s="543"/>
      <c r="EB15" s="388"/>
    </row>
    <row r="16" spans="1:133" x14ac:dyDescent="0.3">
      <c r="A16" s="388"/>
      <c r="B16" s="388"/>
      <c r="C16" s="388"/>
      <c r="D16" s="398"/>
      <c r="E16" s="165"/>
      <c r="F16" s="404"/>
      <c r="G16" s="404"/>
      <c r="H16" s="291"/>
      <c r="I16" s="76"/>
      <c r="J16" s="291"/>
      <c r="K16" s="290"/>
      <c r="L16" s="290"/>
      <c r="M16" s="291"/>
      <c r="N16" s="76"/>
      <c r="O16" s="291"/>
      <c r="P16" s="290"/>
      <c r="Q16" s="290"/>
      <c r="R16" s="291"/>
      <c r="S16" s="76"/>
      <c r="T16" s="291"/>
      <c r="U16" s="290"/>
      <c r="V16" s="290"/>
      <c r="W16" s="291"/>
      <c r="X16" s="76"/>
      <c r="Y16" s="291"/>
      <c r="Z16" s="290"/>
      <c r="AA16" s="290"/>
      <c r="AB16" s="291"/>
      <c r="AC16" s="76"/>
      <c r="AD16" s="291"/>
      <c r="AE16" s="290"/>
      <c r="AF16" s="290"/>
      <c r="AG16" s="291"/>
      <c r="AH16" s="76"/>
      <c r="AI16" s="291"/>
      <c r="AJ16" s="290"/>
      <c r="AK16" s="290"/>
      <c r="AL16" s="291"/>
      <c r="AM16" s="76"/>
      <c r="AN16" s="291"/>
      <c r="AO16" s="290"/>
      <c r="AP16" s="290"/>
      <c r="AQ16" s="291"/>
      <c r="AR16" s="76"/>
      <c r="AS16" s="291"/>
      <c r="AT16" s="290"/>
      <c r="AU16" s="290"/>
      <c r="AV16" s="291"/>
      <c r="AW16" s="76"/>
      <c r="AX16" s="291"/>
      <c r="AY16" s="290"/>
      <c r="AZ16" s="290"/>
      <c r="BA16" s="291"/>
      <c r="BB16" s="76"/>
      <c r="BC16" s="291"/>
      <c r="BD16" s="290"/>
      <c r="BE16" s="290"/>
      <c r="BF16" s="291"/>
      <c r="BG16" s="76"/>
      <c r="BH16" s="291"/>
      <c r="BI16" s="290"/>
      <c r="BJ16" s="290"/>
      <c r="BK16" s="291"/>
      <c r="BL16" s="76"/>
      <c r="BM16" s="291"/>
      <c r="BN16" s="290"/>
      <c r="BO16" s="290"/>
      <c r="BP16" s="291"/>
      <c r="BQ16" s="76"/>
      <c r="BR16" s="291"/>
      <c r="BS16" s="290"/>
      <c r="BT16" s="290"/>
      <c r="BU16" s="291"/>
      <c r="BV16" s="76"/>
      <c r="BW16" s="291"/>
      <c r="BX16" s="290"/>
      <c r="BY16" s="290"/>
      <c r="BZ16" s="291"/>
      <c r="CA16" s="76"/>
      <c r="CB16" s="291"/>
      <c r="CC16" s="290"/>
      <c r="CD16" s="290"/>
      <c r="CE16" s="291"/>
      <c r="CF16" s="76"/>
      <c r="CG16" s="291"/>
      <c r="CH16" s="290"/>
      <c r="CI16" s="290"/>
      <c r="CJ16" s="291"/>
      <c r="CK16" s="76"/>
      <c r="CL16" s="291"/>
      <c r="CM16" s="290"/>
      <c r="CN16" s="290"/>
      <c r="CO16" s="291"/>
      <c r="CP16" s="76"/>
      <c r="CQ16" s="291"/>
      <c r="CR16" s="290"/>
      <c r="CS16" s="290"/>
      <c r="CT16" s="291"/>
      <c r="CU16" s="76"/>
      <c r="CV16" s="291"/>
      <c r="CW16" s="290"/>
      <c r="CX16" s="290"/>
      <c r="CY16" s="291"/>
      <c r="CZ16" s="76"/>
      <c r="DA16" s="291"/>
      <c r="DB16" s="290"/>
      <c r="DC16" s="290"/>
      <c r="DD16" s="291"/>
      <c r="DE16" s="76"/>
      <c r="DF16" s="291"/>
      <c r="DG16" s="290"/>
      <c r="DH16" s="290"/>
      <c r="DI16" s="291"/>
      <c r="DJ16" s="76"/>
      <c r="DK16" s="291"/>
      <c r="DL16" s="290"/>
      <c r="DM16" s="290"/>
      <c r="DN16" s="291"/>
      <c r="DO16" s="76"/>
      <c r="DP16" s="291"/>
      <c r="DQ16" s="290"/>
      <c r="DR16" s="290"/>
      <c r="DS16" s="291"/>
      <c r="DT16" s="76"/>
      <c r="DU16" s="291"/>
      <c r="DV16" s="290"/>
      <c r="DW16" s="290"/>
      <c r="DX16" s="291"/>
      <c r="DY16" s="76"/>
      <c r="DZ16" s="291"/>
      <c r="EA16" s="543"/>
      <c r="EB16" s="388"/>
      <c r="EC16" s="411"/>
    </row>
    <row r="17" spans="1:139" x14ac:dyDescent="0.3">
      <c r="A17" s="388"/>
      <c r="B17" s="388"/>
      <c r="C17" s="388"/>
      <c r="D17" s="398" t="s">
        <v>521</v>
      </c>
      <c r="E17" s="165"/>
      <c r="F17" s="404"/>
      <c r="G17" s="404"/>
      <c r="H17" s="291">
        <f>SUM(H18:H19)</f>
        <v>294618000</v>
      </c>
      <c r="I17" s="76"/>
      <c r="J17" s="291"/>
      <c r="K17" s="290"/>
      <c r="L17" s="290"/>
      <c r="M17" s="291">
        <f>SUM(M18:M19)</f>
        <v>254145838</v>
      </c>
      <c r="N17" s="76"/>
      <c r="O17" s="291"/>
      <c r="P17" s="290"/>
      <c r="Q17" s="290"/>
      <c r="R17" s="291">
        <f>SUM(R18:R19)</f>
        <v>250795984</v>
      </c>
      <c r="S17" s="76"/>
      <c r="T17" s="291"/>
      <c r="U17" s="290"/>
      <c r="V17" s="290"/>
      <c r="W17" s="291">
        <f>SUM(W18:W19)</f>
        <v>273768984</v>
      </c>
      <c r="X17" s="76"/>
      <c r="Y17" s="291"/>
      <c r="Z17" s="290"/>
      <c r="AA17" s="290"/>
      <c r="AB17" s="291">
        <f>SUM(AB18:AB19)</f>
        <v>327418771</v>
      </c>
      <c r="AC17" s="76"/>
      <c r="AD17" s="291"/>
      <c r="AE17" s="290"/>
      <c r="AF17" s="290"/>
      <c r="AG17" s="291">
        <f>SUM(AG18:AG19)</f>
        <v>285457337</v>
      </c>
      <c r="AH17" s="76"/>
      <c r="AI17" s="291"/>
      <c r="AJ17" s="290"/>
      <c r="AK17" s="290"/>
      <c r="AL17" s="291">
        <f>SUM(AL18:AL19)</f>
        <v>298709835</v>
      </c>
      <c r="AM17" s="76"/>
      <c r="AN17" s="291"/>
      <c r="AO17" s="290"/>
      <c r="AP17" s="290"/>
      <c r="AQ17" s="291">
        <f>SUM(AQ18:AQ19)</f>
        <v>339671820</v>
      </c>
      <c r="AR17" s="76"/>
      <c r="AS17" s="291"/>
      <c r="AT17" s="290"/>
      <c r="AU17" s="290"/>
      <c r="AV17" s="291">
        <f>SUM(AV18:AV19)</f>
        <v>359182012</v>
      </c>
      <c r="AW17" s="76"/>
      <c r="AX17" s="291"/>
      <c r="AY17" s="290"/>
      <c r="AZ17" s="290"/>
      <c r="BA17" s="291">
        <f>SUM(BA18:BA19)</f>
        <v>377944915</v>
      </c>
      <c r="BB17" s="76"/>
      <c r="BC17" s="291"/>
      <c r="BD17" s="290"/>
      <c r="BE17" s="290"/>
      <c r="BF17" s="291">
        <f>SUM(BF18:BF19)</f>
        <v>378365248</v>
      </c>
      <c r="BG17" s="76"/>
      <c r="BH17" s="291"/>
      <c r="BI17" s="290"/>
      <c r="BJ17" s="290"/>
      <c r="BK17" s="291">
        <f>SUM(BK18:BK19)</f>
        <v>390351542</v>
      </c>
      <c r="BL17" s="76"/>
      <c r="BM17" s="291"/>
      <c r="BN17" s="290"/>
      <c r="BO17" s="290"/>
      <c r="BP17" s="291">
        <f>SUM(BP18:BP19)</f>
        <v>337603680</v>
      </c>
      <c r="BQ17" s="76"/>
      <c r="BR17" s="291"/>
      <c r="BS17" s="290"/>
      <c r="BT17" s="290"/>
      <c r="BU17" s="291">
        <f>SUM(BU18:BU19)</f>
        <v>337603680</v>
      </c>
      <c r="BV17" s="76"/>
      <c r="BW17" s="291"/>
      <c r="BX17" s="290"/>
      <c r="BY17" s="290"/>
      <c r="BZ17" s="291">
        <f>SUM(BZ18:BZ19)</f>
        <v>198973668</v>
      </c>
      <c r="CA17" s="76"/>
      <c r="CB17" s="291"/>
      <c r="CC17" s="290"/>
      <c r="CD17" s="290"/>
      <c r="CE17" s="291">
        <f>SUM(CE18:CE19)</f>
        <v>192440092</v>
      </c>
      <c r="CF17" s="76"/>
      <c r="CG17" s="291"/>
      <c r="CH17" s="290"/>
      <c r="CI17" s="290"/>
      <c r="CJ17" s="291">
        <f>SUM(CJ18:CJ19)</f>
        <v>272634929</v>
      </c>
      <c r="CK17" s="76"/>
      <c r="CL17" s="291"/>
      <c r="CM17" s="290"/>
      <c r="CN17" s="290"/>
      <c r="CO17" s="291">
        <f>SUM(CO18:CO19)</f>
        <v>201149147</v>
      </c>
      <c r="CP17" s="76"/>
      <c r="CQ17" s="291"/>
      <c r="CR17" s="290"/>
      <c r="CS17" s="290"/>
      <c r="CT17" s="291">
        <f>SUM(CT18:CT19)</f>
        <v>190633911</v>
      </c>
      <c r="CU17" s="76"/>
      <c r="CV17" s="291"/>
      <c r="CW17" s="290"/>
      <c r="CX17" s="290"/>
      <c r="CY17" s="291">
        <f>SUM(CY18:CY19)</f>
        <v>295162190</v>
      </c>
      <c r="CZ17" s="76"/>
      <c r="DA17" s="291"/>
      <c r="DB17" s="290"/>
      <c r="DC17" s="290"/>
      <c r="DD17" s="291">
        <f>SUM(DD18:DD19)</f>
        <v>292430317</v>
      </c>
      <c r="DE17" s="76"/>
      <c r="DF17" s="291"/>
      <c r="DG17" s="290"/>
      <c r="DH17" s="290"/>
      <c r="DI17" s="291">
        <f>SUM(DI18:DI19)</f>
        <v>301800056</v>
      </c>
      <c r="DJ17" s="76"/>
      <c r="DK17" s="291"/>
      <c r="DL17" s="290"/>
      <c r="DM17" s="290"/>
      <c r="DN17" s="291">
        <f>SUM(DN18:DN19)</f>
        <v>309696579</v>
      </c>
      <c r="DO17" s="76"/>
      <c r="DP17" s="291"/>
      <c r="DQ17" s="290"/>
      <c r="DR17" s="290"/>
      <c r="DS17" s="291">
        <f>SUM(DS18:DS19)</f>
        <v>276331925</v>
      </c>
      <c r="DT17" s="76"/>
      <c r="DU17" s="291"/>
      <c r="DV17" s="290"/>
      <c r="DW17" s="290"/>
      <c r="DX17" s="291">
        <f>SUM(DX18:DX19)</f>
        <v>304271687</v>
      </c>
      <c r="DY17" s="76"/>
      <c r="DZ17" s="291"/>
      <c r="EA17" s="543"/>
      <c r="EB17" s="388"/>
      <c r="EC17" s="411"/>
    </row>
    <row r="18" spans="1:139" x14ac:dyDescent="0.3">
      <c r="A18" s="388"/>
      <c r="B18" s="388"/>
      <c r="C18" s="388"/>
      <c r="D18" s="398" t="s">
        <v>519</v>
      </c>
      <c r="E18" s="165"/>
      <c r="F18" s="404"/>
      <c r="G18" s="404"/>
      <c r="H18" s="544">
        <v>160266000</v>
      </c>
      <c r="I18" s="76"/>
      <c r="J18" s="291"/>
      <c r="K18" s="290"/>
      <c r="L18" s="290"/>
      <c r="M18" s="544">
        <v>188398825</v>
      </c>
      <c r="N18" s="76"/>
      <c r="O18" s="291"/>
      <c r="P18" s="290"/>
      <c r="Q18" s="290"/>
      <c r="R18" s="544">
        <v>183966537</v>
      </c>
      <c r="S18" s="76"/>
      <c r="T18" s="291"/>
      <c r="U18" s="290"/>
      <c r="V18" s="290"/>
      <c r="W18" s="544">
        <v>174786407</v>
      </c>
      <c r="X18" s="76"/>
      <c r="Y18" s="291"/>
      <c r="Z18" s="290"/>
      <c r="AA18" s="290"/>
      <c r="AB18" s="544">
        <v>216993276</v>
      </c>
      <c r="AC18" s="76"/>
      <c r="AD18" s="291"/>
      <c r="AE18" s="290"/>
      <c r="AF18" s="290"/>
      <c r="AG18" s="544">
        <v>178904480</v>
      </c>
      <c r="AH18" s="76"/>
      <c r="AI18" s="291"/>
      <c r="AJ18" s="290"/>
      <c r="AK18" s="290"/>
      <c r="AL18" s="544">
        <v>162851119</v>
      </c>
      <c r="AM18" s="76"/>
      <c r="AN18" s="291"/>
      <c r="AO18" s="290"/>
      <c r="AP18" s="290"/>
      <c r="AQ18" s="544">
        <v>150789653</v>
      </c>
      <c r="AR18" s="76"/>
      <c r="AS18" s="291"/>
      <c r="AT18" s="290"/>
      <c r="AU18" s="290"/>
      <c r="AV18" s="544">
        <v>150112405</v>
      </c>
      <c r="AW18" s="76"/>
      <c r="AX18" s="291"/>
      <c r="AY18" s="290"/>
      <c r="AZ18" s="290"/>
      <c r="BA18" s="544">
        <v>143765580</v>
      </c>
      <c r="BB18" s="76"/>
      <c r="BC18" s="291"/>
      <c r="BD18" s="290"/>
      <c r="BE18" s="290"/>
      <c r="BF18" s="544">
        <v>142480438</v>
      </c>
      <c r="BG18" s="76"/>
      <c r="BH18" s="291"/>
      <c r="BI18" s="290"/>
      <c r="BJ18" s="290"/>
      <c r="BK18" s="544">
        <v>141649872</v>
      </c>
      <c r="BL18" s="76"/>
      <c r="BM18" s="291"/>
      <c r="BN18" s="290"/>
      <c r="BO18" s="290"/>
      <c r="BP18" s="544">
        <v>139049630</v>
      </c>
      <c r="BQ18" s="76"/>
      <c r="BR18" s="291"/>
      <c r="BS18" s="290"/>
      <c r="BT18" s="290"/>
      <c r="BU18" s="544">
        <f>BP18</f>
        <v>139049630</v>
      </c>
      <c r="BV18" s="76"/>
      <c r="BW18" s="291"/>
      <c r="BX18" s="290"/>
      <c r="BY18" s="290"/>
      <c r="BZ18" s="544">
        <v>171432024</v>
      </c>
      <c r="CA18" s="76"/>
      <c r="CB18" s="291"/>
      <c r="CC18" s="290"/>
      <c r="CD18" s="290"/>
      <c r="CE18" s="544">
        <v>159100607</v>
      </c>
      <c r="CF18" s="76"/>
      <c r="CG18" s="291"/>
      <c r="CH18" s="290"/>
      <c r="CI18" s="290"/>
      <c r="CJ18" s="544">
        <v>157556488</v>
      </c>
      <c r="CK18" s="76"/>
      <c r="CL18" s="291"/>
      <c r="CM18" s="290"/>
      <c r="CN18" s="290"/>
      <c r="CO18" s="544">
        <v>154393121</v>
      </c>
      <c r="CP18" s="76"/>
      <c r="CQ18" s="291"/>
      <c r="CR18" s="290"/>
      <c r="CS18" s="290"/>
      <c r="CT18" s="544">
        <v>153790115</v>
      </c>
      <c r="CU18" s="76"/>
      <c r="CV18" s="291"/>
      <c r="CW18" s="290"/>
      <c r="CX18" s="290"/>
      <c r="CY18" s="544">
        <v>226475319</v>
      </c>
      <c r="CZ18" s="76"/>
      <c r="DA18" s="291"/>
      <c r="DB18" s="290"/>
      <c r="DC18" s="290"/>
      <c r="DD18" s="544">
        <v>223710506</v>
      </c>
      <c r="DE18" s="76"/>
      <c r="DF18" s="291"/>
      <c r="DG18" s="290"/>
      <c r="DH18" s="290"/>
      <c r="DI18" s="544">
        <v>222808884</v>
      </c>
      <c r="DJ18" s="76"/>
      <c r="DK18" s="291"/>
      <c r="DL18" s="290"/>
      <c r="DM18" s="290"/>
      <c r="DN18" s="544">
        <v>216296990</v>
      </c>
      <c r="DO18" s="76"/>
      <c r="DP18" s="291"/>
      <c r="DQ18" s="290"/>
      <c r="DR18" s="290"/>
      <c r="DS18" s="544">
        <v>214990489</v>
      </c>
      <c r="DT18" s="76"/>
      <c r="DU18" s="291"/>
      <c r="DV18" s="290"/>
      <c r="DW18" s="290"/>
      <c r="DX18" s="544">
        <v>214239939</v>
      </c>
      <c r="DY18" s="76"/>
      <c r="DZ18" s="291"/>
      <c r="EA18" s="543"/>
      <c r="EB18" s="388"/>
      <c r="EC18" s="411"/>
    </row>
    <row r="19" spans="1:139" x14ac:dyDescent="0.3">
      <c r="A19" s="388"/>
      <c r="B19" s="388"/>
      <c r="C19" s="388"/>
      <c r="D19" s="398" t="s">
        <v>520</v>
      </c>
      <c r="E19" s="165"/>
      <c r="F19" s="404"/>
      <c r="G19" s="404"/>
      <c r="H19" s="546">
        <v>134352000</v>
      </c>
      <c r="I19" s="76"/>
      <c r="J19" s="291"/>
      <c r="K19" s="290"/>
      <c r="L19" s="290"/>
      <c r="M19" s="546">
        <v>65747013</v>
      </c>
      <c r="N19" s="76"/>
      <c r="O19" s="291"/>
      <c r="P19" s="290"/>
      <c r="Q19" s="290"/>
      <c r="R19" s="546">
        <v>66829447</v>
      </c>
      <c r="S19" s="76"/>
      <c r="T19" s="291"/>
      <c r="U19" s="290"/>
      <c r="V19" s="290"/>
      <c r="W19" s="546">
        <v>98982577</v>
      </c>
      <c r="X19" s="76"/>
      <c r="Y19" s="291"/>
      <c r="Z19" s="290"/>
      <c r="AA19" s="290"/>
      <c r="AB19" s="546">
        <v>110425495</v>
      </c>
      <c r="AC19" s="76"/>
      <c r="AD19" s="291"/>
      <c r="AE19" s="290"/>
      <c r="AF19" s="290"/>
      <c r="AG19" s="546">
        <v>106552857</v>
      </c>
      <c r="AH19" s="76"/>
      <c r="AI19" s="291"/>
      <c r="AJ19" s="290"/>
      <c r="AK19" s="290"/>
      <c r="AL19" s="546">
        <v>135858716</v>
      </c>
      <c r="AM19" s="76"/>
      <c r="AN19" s="291"/>
      <c r="AO19" s="290"/>
      <c r="AP19" s="290"/>
      <c r="AQ19" s="546">
        <v>188882167</v>
      </c>
      <c r="AR19" s="76"/>
      <c r="AS19" s="291"/>
      <c r="AT19" s="290"/>
      <c r="AU19" s="290"/>
      <c r="AV19" s="546">
        <v>209069607</v>
      </c>
      <c r="AW19" s="76"/>
      <c r="AX19" s="291"/>
      <c r="AY19" s="290"/>
      <c r="AZ19" s="290"/>
      <c r="BA19" s="546">
        <v>234179335</v>
      </c>
      <c r="BB19" s="76"/>
      <c r="BC19" s="291"/>
      <c r="BD19" s="290"/>
      <c r="BE19" s="290"/>
      <c r="BF19" s="546">
        <v>235884810</v>
      </c>
      <c r="BG19" s="76"/>
      <c r="BH19" s="291"/>
      <c r="BI19" s="290"/>
      <c r="BJ19" s="290"/>
      <c r="BK19" s="546">
        <v>248701670</v>
      </c>
      <c r="BL19" s="76"/>
      <c r="BM19" s="291"/>
      <c r="BN19" s="290"/>
      <c r="BO19" s="290"/>
      <c r="BP19" s="546">
        <v>198554050</v>
      </c>
      <c r="BQ19" s="76"/>
      <c r="BR19" s="291"/>
      <c r="BS19" s="290"/>
      <c r="BT19" s="290"/>
      <c r="BU19" s="546">
        <f>BP19</f>
        <v>198554050</v>
      </c>
      <c r="BV19" s="76"/>
      <c r="BW19" s="291"/>
      <c r="BX19" s="290"/>
      <c r="BY19" s="290"/>
      <c r="BZ19" s="546">
        <v>27541644</v>
      </c>
      <c r="CA19" s="76"/>
      <c r="CB19" s="291"/>
      <c r="CC19" s="290"/>
      <c r="CD19" s="290"/>
      <c r="CE19" s="546">
        <v>33339485</v>
      </c>
      <c r="CF19" s="76"/>
      <c r="CG19" s="291"/>
      <c r="CH19" s="290"/>
      <c r="CI19" s="290"/>
      <c r="CJ19" s="546">
        <v>115078441</v>
      </c>
      <c r="CK19" s="76"/>
      <c r="CL19" s="291"/>
      <c r="CM19" s="290"/>
      <c r="CN19" s="290"/>
      <c r="CO19" s="546">
        <v>46756026</v>
      </c>
      <c r="CP19" s="76"/>
      <c r="CQ19" s="291"/>
      <c r="CR19" s="290"/>
      <c r="CS19" s="290"/>
      <c r="CT19" s="546">
        <v>36843796</v>
      </c>
      <c r="CU19" s="76"/>
      <c r="CV19" s="291"/>
      <c r="CW19" s="290"/>
      <c r="CX19" s="290"/>
      <c r="CY19" s="546">
        <v>68686871</v>
      </c>
      <c r="CZ19" s="76"/>
      <c r="DA19" s="291"/>
      <c r="DB19" s="290"/>
      <c r="DC19" s="290"/>
      <c r="DD19" s="546">
        <v>68719811</v>
      </c>
      <c r="DE19" s="76"/>
      <c r="DF19" s="291"/>
      <c r="DG19" s="290"/>
      <c r="DH19" s="290"/>
      <c r="DI19" s="546">
        <v>78991172</v>
      </c>
      <c r="DJ19" s="76"/>
      <c r="DK19" s="291"/>
      <c r="DL19" s="290"/>
      <c r="DM19" s="290"/>
      <c r="DN19" s="546">
        <v>93399589</v>
      </c>
      <c r="DO19" s="76"/>
      <c r="DP19" s="291"/>
      <c r="DQ19" s="290"/>
      <c r="DR19" s="290"/>
      <c r="DS19" s="546">
        <v>61341436</v>
      </c>
      <c r="DT19" s="76"/>
      <c r="DU19" s="291"/>
      <c r="DV19" s="290"/>
      <c r="DW19" s="290"/>
      <c r="DX19" s="546">
        <v>90031748</v>
      </c>
      <c r="DY19" s="76"/>
      <c r="DZ19" s="291"/>
      <c r="EA19" s="543"/>
      <c r="EB19" s="388"/>
      <c r="EC19" s="411"/>
    </row>
    <row r="20" spans="1:139" x14ac:dyDescent="0.3">
      <c r="A20" s="388"/>
      <c r="B20" s="388"/>
      <c r="C20" s="388"/>
      <c r="D20" s="398"/>
      <c r="E20" s="165"/>
      <c r="F20" s="404"/>
      <c r="G20" s="427"/>
      <c r="H20" s="547"/>
      <c r="I20" s="548"/>
      <c r="J20" s="291"/>
      <c r="K20" s="290"/>
      <c r="L20" s="549"/>
      <c r="M20" s="547"/>
      <c r="N20" s="548"/>
      <c r="O20" s="291"/>
      <c r="P20" s="290"/>
      <c r="Q20" s="549"/>
      <c r="R20" s="547"/>
      <c r="S20" s="548"/>
      <c r="T20" s="291"/>
      <c r="U20" s="290"/>
      <c r="V20" s="549"/>
      <c r="W20" s="547"/>
      <c r="X20" s="548"/>
      <c r="Y20" s="291"/>
      <c r="Z20" s="290"/>
      <c r="AA20" s="549"/>
      <c r="AB20" s="547"/>
      <c r="AC20" s="548"/>
      <c r="AD20" s="291"/>
      <c r="AE20" s="290"/>
      <c r="AF20" s="549"/>
      <c r="AG20" s="547"/>
      <c r="AH20" s="548"/>
      <c r="AI20" s="291"/>
      <c r="AJ20" s="290"/>
      <c r="AK20" s="549"/>
      <c r="AL20" s="547"/>
      <c r="AM20" s="548"/>
      <c r="AN20" s="291"/>
      <c r="AO20" s="290"/>
      <c r="AP20" s="549"/>
      <c r="AQ20" s="547"/>
      <c r="AR20" s="548"/>
      <c r="AS20" s="291"/>
      <c r="AT20" s="290"/>
      <c r="AU20" s="549"/>
      <c r="AV20" s="547"/>
      <c r="AW20" s="548"/>
      <c r="AX20" s="291"/>
      <c r="AY20" s="290"/>
      <c r="AZ20" s="549"/>
      <c r="BA20" s="547"/>
      <c r="BB20" s="548"/>
      <c r="BC20" s="291"/>
      <c r="BD20" s="290"/>
      <c r="BE20" s="549"/>
      <c r="BF20" s="547"/>
      <c r="BG20" s="548"/>
      <c r="BH20" s="291"/>
      <c r="BI20" s="290"/>
      <c r="BJ20" s="549"/>
      <c r="BK20" s="547"/>
      <c r="BL20" s="548"/>
      <c r="BM20" s="291"/>
      <c r="BN20" s="290"/>
      <c r="BO20" s="549"/>
      <c r="BP20" s="547"/>
      <c r="BQ20" s="548"/>
      <c r="BR20" s="291"/>
      <c r="BS20" s="290"/>
      <c r="BT20" s="549"/>
      <c r="BU20" s="547"/>
      <c r="BV20" s="548"/>
      <c r="BW20" s="291"/>
      <c r="BX20" s="290"/>
      <c r="BY20" s="549"/>
      <c r="BZ20" s="547"/>
      <c r="CA20" s="548"/>
      <c r="CB20" s="291"/>
      <c r="CC20" s="290"/>
      <c r="CD20" s="549"/>
      <c r="CE20" s="547"/>
      <c r="CF20" s="548"/>
      <c r="CG20" s="291"/>
      <c r="CH20" s="290"/>
      <c r="CI20" s="549"/>
      <c r="CJ20" s="547"/>
      <c r="CK20" s="548"/>
      <c r="CL20" s="291"/>
      <c r="CM20" s="290"/>
      <c r="CN20" s="549"/>
      <c r="CO20" s="547"/>
      <c r="CP20" s="548"/>
      <c r="CQ20" s="291"/>
      <c r="CR20" s="290"/>
      <c r="CS20" s="549"/>
      <c r="CT20" s="547"/>
      <c r="CU20" s="548"/>
      <c r="CV20" s="291"/>
      <c r="CW20" s="290"/>
      <c r="CX20" s="549"/>
      <c r="CY20" s="547"/>
      <c r="CZ20" s="548"/>
      <c r="DA20" s="291"/>
      <c r="DB20" s="290"/>
      <c r="DC20" s="549"/>
      <c r="DD20" s="547"/>
      <c r="DE20" s="548"/>
      <c r="DF20" s="291"/>
      <c r="DG20" s="290"/>
      <c r="DH20" s="549"/>
      <c r="DI20" s="547"/>
      <c r="DJ20" s="548"/>
      <c r="DK20" s="291"/>
      <c r="DL20" s="290"/>
      <c r="DM20" s="549"/>
      <c r="DN20" s="547"/>
      <c r="DO20" s="548"/>
      <c r="DP20" s="291"/>
      <c r="DQ20" s="290"/>
      <c r="DR20" s="549"/>
      <c r="DS20" s="547"/>
      <c r="DT20" s="548"/>
      <c r="DU20" s="291"/>
      <c r="DV20" s="290"/>
      <c r="DW20" s="549"/>
      <c r="DX20" s="547"/>
      <c r="DY20" s="548"/>
      <c r="DZ20" s="291"/>
      <c r="EA20" s="543"/>
      <c r="EB20" s="388"/>
      <c r="EC20" s="411"/>
    </row>
    <row r="21" spans="1:139" x14ac:dyDescent="0.3">
      <c r="A21" s="388"/>
      <c r="B21" s="388"/>
      <c r="C21" s="388"/>
      <c r="D21" s="398"/>
      <c r="E21" s="165"/>
      <c r="F21" s="404"/>
      <c r="G21" s="388"/>
      <c r="H21" s="432"/>
      <c r="I21" s="432"/>
      <c r="J21" s="432"/>
      <c r="K21" s="431"/>
      <c r="L21" s="432"/>
      <c r="M21" s="432"/>
      <c r="N21" s="432"/>
      <c r="O21" s="432"/>
      <c r="P21" s="431"/>
      <c r="Q21" s="432"/>
      <c r="R21" s="432"/>
      <c r="S21" s="432"/>
      <c r="T21" s="432"/>
      <c r="U21" s="431"/>
      <c r="V21" s="432"/>
      <c r="W21" s="432"/>
      <c r="X21" s="432"/>
      <c r="Y21" s="432"/>
      <c r="Z21" s="431"/>
      <c r="AA21" s="432"/>
      <c r="AB21" s="432"/>
      <c r="AC21" s="432"/>
      <c r="AD21" s="432"/>
      <c r="AE21" s="431"/>
      <c r="AF21" s="432"/>
      <c r="AG21" s="432"/>
      <c r="AH21" s="432"/>
      <c r="AI21" s="432"/>
      <c r="AJ21" s="431"/>
      <c r="AK21" s="432"/>
      <c r="AL21" s="432"/>
      <c r="AM21" s="432"/>
      <c r="AN21" s="432"/>
      <c r="AO21" s="431"/>
      <c r="AP21" s="432"/>
      <c r="AQ21" s="432"/>
      <c r="AR21" s="432"/>
      <c r="AS21" s="432"/>
      <c r="AT21" s="431"/>
      <c r="AU21" s="432"/>
      <c r="AV21" s="432"/>
      <c r="AW21" s="432"/>
      <c r="AX21" s="432"/>
      <c r="AY21" s="431"/>
      <c r="AZ21" s="432"/>
      <c r="BA21" s="432"/>
      <c r="BB21" s="432"/>
      <c r="BC21" s="432"/>
      <c r="BD21" s="431"/>
      <c r="BE21" s="432"/>
      <c r="BF21" s="432"/>
      <c r="BG21" s="432"/>
      <c r="BH21" s="432"/>
      <c r="BI21" s="431"/>
      <c r="BJ21" s="432"/>
      <c r="BK21" s="432"/>
      <c r="BL21" s="432"/>
      <c r="BM21" s="432"/>
      <c r="BN21" s="431"/>
      <c r="BO21" s="432"/>
      <c r="BP21" s="432"/>
      <c r="BQ21" s="432"/>
      <c r="BR21" s="432"/>
      <c r="BS21" s="431"/>
      <c r="BT21" s="432"/>
      <c r="BU21" s="432"/>
      <c r="BV21" s="432"/>
      <c r="BW21" s="432"/>
      <c r="BX21" s="431"/>
      <c r="BY21" s="432"/>
      <c r="BZ21" s="432"/>
      <c r="CA21" s="432"/>
      <c r="CB21" s="432"/>
      <c r="CC21" s="431"/>
      <c r="CD21" s="432"/>
      <c r="CE21" s="432"/>
      <c r="CF21" s="432"/>
      <c r="CG21" s="432"/>
      <c r="CH21" s="431"/>
      <c r="CI21" s="432"/>
      <c r="CJ21" s="432"/>
      <c r="CK21" s="432"/>
      <c r="CL21" s="432"/>
      <c r="CM21" s="431"/>
      <c r="CN21" s="432"/>
      <c r="CO21" s="432"/>
      <c r="CP21" s="432"/>
      <c r="CQ21" s="432"/>
      <c r="CR21" s="431"/>
      <c r="CS21" s="432"/>
      <c r="CT21" s="432"/>
      <c r="CU21" s="432"/>
      <c r="CV21" s="432"/>
      <c r="CW21" s="431"/>
      <c r="CX21" s="432"/>
      <c r="CY21" s="432"/>
      <c r="CZ21" s="432"/>
      <c r="DA21" s="432"/>
      <c r="DB21" s="431"/>
      <c r="DC21" s="432"/>
      <c r="DD21" s="432"/>
      <c r="DE21" s="432"/>
      <c r="DF21" s="432"/>
      <c r="DG21" s="431"/>
      <c r="DH21" s="432"/>
      <c r="DI21" s="432"/>
      <c r="DJ21" s="432"/>
      <c r="DK21" s="432"/>
      <c r="DL21" s="431"/>
      <c r="DM21" s="432"/>
      <c r="DN21" s="432"/>
      <c r="DO21" s="432"/>
      <c r="DP21" s="432"/>
      <c r="DQ21" s="431"/>
      <c r="DR21" s="432"/>
      <c r="DS21" s="432"/>
      <c r="DT21" s="432"/>
      <c r="DU21" s="432"/>
      <c r="DV21" s="431"/>
      <c r="DW21" s="432"/>
      <c r="DX21" s="432"/>
      <c r="DY21" s="432"/>
      <c r="DZ21" s="432"/>
      <c r="EA21" s="470"/>
      <c r="EB21" s="388"/>
      <c r="EC21" s="411"/>
    </row>
    <row r="22" spans="1:139" s="411" customFormat="1" x14ac:dyDescent="0.3">
      <c r="A22" s="389"/>
      <c r="B22" s="389"/>
      <c r="C22" s="389"/>
      <c r="D22" s="405"/>
      <c r="E22" s="532"/>
      <c r="F22" s="407"/>
      <c r="G22" s="389"/>
      <c r="H22" s="434"/>
      <c r="I22" s="434"/>
      <c r="J22" s="434"/>
      <c r="K22" s="433"/>
      <c r="L22" s="434"/>
      <c r="M22" s="434"/>
      <c r="N22" s="434"/>
      <c r="O22" s="434"/>
      <c r="P22" s="433"/>
      <c r="Q22" s="434"/>
      <c r="R22" s="434"/>
      <c r="S22" s="434"/>
      <c r="T22" s="434"/>
      <c r="U22" s="433"/>
      <c r="V22" s="434"/>
      <c r="W22" s="434"/>
      <c r="X22" s="434"/>
      <c r="Y22" s="434"/>
      <c r="Z22" s="433"/>
      <c r="AA22" s="434"/>
      <c r="AB22" s="434"/>
      <c r="AC22" s="434"/>
      <c r="AD22" s="434"/>
      <c r="AE22" s="433"/>
      <c r="AF22" s="434"/>
      <c r="AG22" s="434"/>
      <c r="AH22" s="434"/>
      <c r="AI22" s="434"/>
      <c r="AJ22" s="433"/>
      <c r="AK22" s="434"/>
      <c r="AL22" s="434"/>
      <c r="AM22" s="434"/>
      <c r="AN22" s="434"/>
      <c r="AO22" s="433"/>
      <c r="AP22" s="434"/>
      <c r="AQ22" s="434"/>
      <c r="AR22" s="434"/>
      <c r="AS22" s="434"/>
      <c r="AT22" s="433"/>
      <c r="AU22" s="434"/>
      <c r="AV22" s="434"/>
      <c r="AW22" s="434"/>
      <c r="AX22" s="434"/>
      <c r="AY22" s="433"/>
      <c r="AZ22" s="434"/>
      <c r="BA22" s="434"/>
      <c r="BB22" s="434"/>
      <c r="BC22" s="434"/>
      <c r="BD22" s="433"/>
      <c r="BE22" s="434"/>
      <c r="BF22" s="434"/>
      <c r="BG22" s="434"/>
      <c r="BH22" s="434"/>
      <c r="BI22" s="433"/>
      <c r="BJ22" s="434"/>
      <c r="BK22" s="434"/>
      <c r="BL22" s="434"/>
      <c r="BM22" s="434"/>
      <c r="BN22" s="433"/>
      <c r="BO22" s="434"/>
      <c r="BP22" s="434"/>
      <c r="BQ22" s="434"/>
      <c r="BR22" s="434"/>
      <c r="BS22" s="433"/>
      <c r="BT22" s="434"/>
      <c r="BU22" s="434"/>
      <c r="BV22" s="434"/>
      <c r="BW22" s="434"/>
      <c r="BX22" s="433"/>
      <c r="BY22" s="434"/>
      <c r="BZ22" s="434"/>
      <c r="CA22" s="434"/>
      <c r="CB22" s="434"/>
      <c r="CC22" s="433"/>
      <c r="CD22" s="434"/>
      <c r="CE22" s="434"/>
      <c r="CF22" s="434"/>
      <c r="CG22" s="434"/>
      <c r="CH22" s="433"/>
      <c r="CI22" s="434"/>
      <c r="CJ22" s="434"/>
      <c r="CK22" s="434"/>
      <c r="CL22" s="434"/>
      <c r="CM22" s="433"/>
      <c r="CN22" s="434"/>
      <c r="CO22" s="434"/>
      <c r="CP22" s="434"/>
      <c r="CQ22" s="434"/>
      <c r="CR22" s="433"/>
      <c r="CS22" s="434"/>
      <c r="CT22" s="434"/>
      <c r="CU22" s="434"/>
      <c r="CV22" s="434"/>
      <c r="CW22" s="433"/>
      <c r="CX22" s="434"/>
      <c r="CY22" s="434"/>
      <c r="CZ22" s="434"/>
      <c r="DA22" s="434"/>
      <c r="DB22" s="433"/>
      <c r="DC22" s="434"/>
      <c r="DD22" s="434"/>
      <c r="DE22" s="434"/>
      <c r="DF22" s="434"/>
      <c r="DG22" s="433"/>
      <c r="DH22" s="434"/>
      <c r="DI22" s="434"/>
      <c r="DJ22" s="434"/>
      <c r="DK22" s="434"/>
      <c r="DL22" s="433"/>
      <c r="DM22" s="434"/>
      <c r="DN22" s="434"/>
      <c r="DO22" s="434"/>
      <c r="DP22" s="434"/>
      <c r="DQ22" s="433"/>
      <c r="DR22" s="434"/>
      <c r="DS22" s="434"/>
      <c r="DT22" s="434"/>
      <c r="DU22" s="434"/>
      <c r="DV22" s="433"/>
      <c r="DW22" s="434"/>
      <c r="DX22" s="434"/>
      <c r="DY22" s="434"/>
      <c r="DZ22" s="434"/>
      <c r="EA22" s="498"/>
      <c r="EB22" s="389"/>
    </row>
    <row r="23" spans="1:139" s="411" customFormat="1" x14ac:dyDescent="0.3">
      <c r="A23" s="389"/>
      <c r="B23" s="389"/>
      <c r="C23" s="389"/>
      <c r="D23" s="233" t="s">
        <v>522</v>
      </c>
      <c r="E23" s="532"/>
      <c r="F23" s="407"/>
      <c r="G23" s="389"/>
      <c r="H23" s="53">
        <v>0</v>
      </c>
      <c r="I23" s="53"/>
      <c r="J23" s="53"/>
      <c r="K23" s="327"/>
      <c r="L23" s="53"/>
      <c r="M23" s="53">
        <v>34143659</v>
      </c>
      <c r="N23" s="53"/>
      <c r="O23" s="53"/>
      <c r="P23" s="327"/>
      <c r="Q23" s="53"/>
      <c r="R23" s="53">
        <v>-4349966</v>
      </c>
      <c r="S23" s="53"/>
      <c r="T23" s="53"/>
      <c r="U23" s="327"/>
      <c r="V23" s="53"/>
      <c r="W23" s="53">
        <v>2527515</v>
      </c>
      <c r="X23" s="53"/>
      <c r="Y23" s="53"/>
      <c r="Z23" s="327"/>
      <c r="AA23" s="53"/>
      <c r="AB23" s="53">
        <v>-24856159</v>
      </c>
      <c r="AC23" s="53"/>
      <c r="AD23" s="53"/>
      <c r="AE23" s="327"/>
      <c r="AF23" s="53"/>
      <c r="AG23" s="53">
        <v>26866570</v>
      </c>
      <c r="AH23" s="53"/>
      <c r="AI23" s="53"/>
      <c r="AJ23" s="327"/>
      <c r="AK23" s="53"/>
      <c r="AL23" s="53">
        <v>-5977613</v>
      </c>
      <c r="AM23" s="53"/>
      <c r="AN23" s="53"/>
      <c r="AO23" s="327"/>
      <c r="AP23" s="53"/>
      <c r="AQ23" s="53">
        <v>15416167</v>
      </c>
      <c r="AR23" s="53"/>
      <c r="AS23" s="53"/>
      <c r="AT23" s="327"/>
      <c r="AU23" s="53"/>
      <c r="AV23" s="53">
        <v>-315227</v>
      </c>
      <c r="AW23" s="53"/>
      <c r="AX23" s="53"/>
      <c r="AY23" s="327"/>
      <c r="AZ23" s="53"/>
      <c r="BA23" s="53">
        <v>-6539100</v>
      </c>
      <c r="BB23" s="53"/>
      <c r="BC23" s="53"/>
      <c r="BD23" s="327"/>
      <c r="BE23" s="53"/>
      <c r="BF23" s="53">
        <v>59957836</v>
      </c>
      <c r="BG23" s="53"/>
      <c r="BH23" s="53"/>
      <c r="BI23" s="327"/>
      <c r="BJ23" s="53"/>
      <c r="BK23" s="53">
        <v>-1550683</v>
      </c>
      <c r="BL23" s="53"/>
      <c r="BM23" s="53"/>
      <c r="BN23" s="327"/>
      <c r="BO23" s="53"/>
      <c r="BP23" s="53">
        <v>-80682653</v>
      </c>
      <c r="BQ23" s="53"/>
      <c r="BR23" s="53"/>
      <c r="BS23" s="327"/>
      <c r="BT23" s="53"/>
      <c r="BU23" s="53">
        <f>SUM(M23:BP23)</f>
        <v>14640346</v>
      </c>
      <c r="BV23" s="53"/>
      <c r="BW23" s="53"/>
      <c r="BX23" s="327"/>
      <c r="BY23" s="53"/>
      <c r="BZ23" s="53">
        <v>-17895405</v>
      </c>
      <c r="CA23" s="53"/>
      <c r="CB23" s="53"/>
      <c r="CC23" s="327"/>
      <c r="CD23" s="53"/>
      <c r="CE23" s="53">
        <v>-2162772</v>
      </c>
      <c r="CF23" s="53"/>
      <c r="CG23" s="53"/>
      <c r="CH23" s="327"/>
      <c r="CI23" s="53"/>
      <c r="CJ23" s="53">
        <v>1746060</v>
      </c>
      <c r="CK23" s="53"/>
      <c r="CL23" s="53"/>
      <c r="CM23" s="327"/>
      <c r="CN23" s="53"/>
      <c r="CO23" s="53">
        <v>9207825</v>
      </c>
      <c r="CP23" s="53"/>
      <c r="CQ23" s="53"/>
      <c r="CR23" s="327"/>
      <c r="CS23" s="53"/>
      <c r="CT23" s="53">
        <f>-8222766</f>
        <v>-8222766</v>
      </c>
      <c r="CU23" s="53"/>
      <c r="CV23" s="53"/>
      <c r="CW23" s="327"/>
      <c r="CX23" s="53"/>
      <c r="CY23" s="53">
        <v>21412052</v>
      </c>
      <c r="CZ23" s="53"/>
      <c r="DA23" s="53"/>
      <c r="DB23" s="327"/>
      <c r="DC23" s="53"/>
      <c r="DD23" s="53">
        <v>67094</v>
      </c>
      <c r="DE23" s="53"/>
      <c r="DF23" s="53"/>
      <c r="DG23" s="327"/>
      <c r="DH23" s="53"/>
      <c r="DI23" s="53">
        <v>5423083</v>
      </c>
      <c r="DJ23" s="53"/>
      <c r="DK23" s="53"/>
      <c r="DL23" s="327"/>
      <c r="DM23" s="53"/>
      <c r="DN23" s="53">
        <v>3006040</v>
      </c>
      <c r="DO23" s="53"/>
      <c r="DP23" s="53"/>
      <c r="DQ23" s="327"/>
      <c r="DR23" s="53"/>
      <c r="DS23" s="53">
        <f>484408</f>
        <v>484408</v>
      </c>
      <c r="DT23" s="53"/>
      <c r="DU23" s="53"/>
      <c r="DV23" s="327"/>
      <c r="DW23" s="53"/>
      <c r="DX23" s="53">
        <v>4553332</v>
      </c>
      <c r="DY23" s="53"/>
      <c r="DZ23" s="53"/>
      <c r="EA23" s="54"/>
      <c r="EB23" s="389"/>
    </row>
    <row r="24" spans="1:139" x14ac:dyDescent="0.3">
      <c r="A24" s="388"/>
      <c r="B24" s="388"/>
      <c r="C24" s="388"/>
      <c r="D24" s="398"/>
      <c r="E24" s="165"/>
      <c r="F24" s="404"/>
      <c r="G24" s="388"/>
      <c r="H24" s="432"/>
      <c r="I24" s="432"/>
      <c r="J24" s="432"/>
      <c r="K24" s="431"/>
      <c r="L24" s="432"/>
      <c r="M24" s="432"/>
      <c r="N24" s="432"/>
      <c r="O24" s="432"/>
      <c r="P24" s="431"/>
      <c r="Q24" s="432"/>
      <c r="R24" s="432"/>
      <c r="S24" s="432"/>
      <c r="T24" s="432"/>
      <c r="U24" s="431"/>
      <c r="V24" s="432"/>
      <c r="W24" s="432"/>
      <c r="X24" s="432"/>
      <c r="Y24" s="432"/>
      <c r="Z24" s="431"/>
      <c r="AA24" s="432"/>
      <c r="AB24" s="432"/>
      <c r="AC24" s="432"/>
      <c r="AD24" s="432"/>
      <c r="AE24" s="431"/>
      <c r="AF24" s="432"/>
      <c r="AG24" s="432"/>
      <c r="AH24" s="432"/>
      <c r="AI24" s="432"/>
      <c r="AJ24" s="431"/>
      <c r="AK24" s="432"/>
      <c r="AL24" s="432"/>
      <c r="AM24" s="432"/>
      <c r="AN24" s="432"/>
      <c r="AO24" s="431"/>
      <c r="AP24" s="432"/>
      <c r="AQ24" s="432"/>
      <c r="AR24" s="432"/>
      <c r="AS24" s="432"/>
      <c r="AT24" s="431"/>
      <c r="AU24" s="432"/>
      <c r="AV24" s="432"/>
      <c r="AW24" s="432"/>
      <c r="AX24" s="432"/>
      <c r="AY24" s="431"/>
      <c r="AZ24" s="432"/>
      <c r="BA24" s="432"/>
      <c r="BB24" s="432"/>
      <c r="BC24" s="432"/>
      <c r="BD24" s="431"/>
      <c r="BE24" s="432"/>
      <c r="BF24" s="432"/>
      <c r="BG24" s="432"/>
      <c r="BH24" s="432"/>
      <c r="BI24" s="431"/>
      <c r="BJ24" s="432"/>
      <c r="BK24" s="432"/>
      <c r="BL24" s="432"/>
      <c r="BM24" s="432"/>
      <c r="BN24" s="431"/>
      <c r="BO24" s="432"/>
      <c r="BP24" s="432"/>
      <c r="BQ24" s="432"/>
      <c r="BR24" s="432"/>
      <c r="BS24" s="431"/>
      <c r="BT24" s="432"/>
      <c r="BU24" s="388"/>
      <c r="BV24" s="388"/>
      <c r="BW24" s="388"/>
      <c r="BX24" s="431"/>
      <c r="BY24" s="432"/>
      <c r="BZ24" s="432"/>
      <c r="CA24" s="432"/>
      <c r="CB24" s="432"/>
      <c r="CC24" s="431"/>
      <c r="CD24" s="432"/>
      <c r="CE24" s="432"/>
      <c r="CF24" s="432"/>
      <c r="CG24" s="432"/>
      <c r="CH24" s="431"/>
      <c r="CI24" s="432"/>
      <c r="CJ24" s="432"/>
      <c r="CK24" s="432"/>
      <c r="CL24" s="432"/>
      <c r="CM24" s="431"/>
      <c r="CN24" s="432"/>
      <c r="CO24" s="432"/>
      <c r="CP24" s="432"/>
      <c r="CQ24" s="432"/>
      <c r="CR24" s="431"/>
      <c r="CS24" s="432"/>
      <c r="CT24" s="432"/>
      <c r="CU24" s="432"/>
      <c r="CV24" s="432"/>
      <c r="CW24" s="431"/>
      <c r="CX24" s="432"/>
      <c r="CY24" s="432"/>
      <c r="CZ24" s="432"/>
      <c r="DA24" s="432"/>
      <c r="DB24" s="431"/>
      <c r="DC24" s="432"/>
      <c r="DD24" s="432"/>
      <c r="DE24" s="432"/>
      <c r="DF24" s="432"/>
      <c r="DG24" s="431"/>
      <c r="DH24" s="432"/>
      <c r="DI24" s="432"/>
      <c r="DJ24" s="432"/>
      <c r="DK24" s="432"/>
      <c r="DL24" s="431"/>
      <c r="DM24" s="432"/>
      <c r="DN24" s="432"/>
      <c r="DO24" s="432"/>
      <c r="DP24" s="432"/>
      <c r="DQ24" s="431"/>
      <c r="DR24" s="432"/>
      <c r="DS24" s="432"/>
      <c r="DT24" s="432"/>
      <c r="DU24" s="432"/>
      <c r="DV24" s="431"/>
      <c r="DW24" s="432"/>
      <c r="DX24" s="432"/>
      <c r="DY24" s="432"/>
      <c r="DZ24" s="432"/>
      <c r="EA24" s="398"/>
      <c r="EB24" s="388"/>
      <c r="EC24" s="411"/>
    </row>
    <row r="25" spans="1:139" s="411" customFormat="1" x14ac:dyDescent="0.3">
      <c r="A25" s="389"/>
      <c r="B25" s="389"/>
      <c r="C25" s="389"/>
      <c r="D25" s="405" t="s">
        <v>523</v>
      </c>
      <c r="E25" s="532"/>
      <c r="F25" s="407"/>
      <c r="G25" s="389"/>
      <c r="H25" s="434">
        <v>0</v>
      </c>
      <c r="I25" s="434"/>
      <c r="J25" s="434"/>
      <c r="K25" s="433"/>
      <c r="L25" s="434"/>
      <c r="M25" s="434">
        <v>0</v>
      </c>
      <c r="N25" s="434"/>
      <c r="O25" s="434"/>
      <c r="P25" s="433"/>
      <c r="Q25" s="434"/>
      <c r="R25" s="434">
        <v>0</v>
      </c>
      <c r="S25" s="434"/>
      <c r="T25" s="434"/>
      <c r="U25" s="433"/>
      <c r="V25" s="434"/>
      <c r="W25" s="434">
        <v>0</v>
      </c>
      <c r="X25" s="434"/>
      <c r="Y25" s="434"/>
      <c r="Z25" s="433"/>
      <c r="AA25" s="434"/>
      <c r="AB25" s="434">
        <v>0</v>
      </c>
      <c r="AC25" s="434"/>
      <c r="AD25" s="434"/>
      <c r="AE25" s="433"/>
      <c r="AF25" s="434"/>
      <c r="AG25" s="434">
        <v>0</v>
      </c>
      <c r="AH25" s="434"/>
      <c r="AI25" s="434"/>
      <c r="AJ25" s="433"/>
      <c r="AK25" s="434"/>
      <c r="AL25" s="434">
        <v>0</v>
      </c>
      <c r="AM25" s="434"/>
      <c r="AN25" s="434"/>
      <c r="AO25" s="433"/>
      <c r="AP25" s="434"/>
      <c r="AQ25" s="434">
        <v>0</v>
      </c>
      <c r="AR25" s="434"/>
      <c r="AS25" s="434"/>
      <c r="AT25" s="433"/>
      <c r="AU25" s="434"/>
      <c r="AV25" s="434">
        <v>0</v>
      </c>
      <c r="AW25" s="434"/>
      <c r="AX25" s="434"/>
      <c r="AY25" s="433"/>
      <c r="AZ25" s="434"/>
      <c r="BA25" s="434">
        <v>0</v>
      </c>
      <c r="BB25" s="434"/>
      <c r="BC25" s="434"/>
      <c r="BD25" s="433"/>
      <c r="BE25" s="434"/>
      <c r="BF25" s="434">
        <v>0</v>
      </c>
      <c r="BG25" s="434"/>
      <c r="BH25" s="434"/>
      <c r="BI25" s="433"/>
      <c r="BJ25" s="434"/>
      <c r="BK25" s="434">
        <v>0</v>
      </c>
      <c r="BL25" s="434"/>
      <c r="BM25" s="434"/>
      <c r="BN25" s="433"/>
      <c r="BO25" s="434"/>
      <c r="BP25" s="434">
        <v>0</v>
      </c>
      <c r="BQ25" s="434"/>
      <c r="BR25" s="434"/>
      <c r="BS25" s="433"/>
      <c r="BT25" s="434"/>
      <c r="BU25" s="53">
        <f>SUM(M25:BP25)</f>
        <v>0</v>
      </c>
      <c r="BV25" s="389"/>
      <c r="BW25" s="389"/>
      <c r="BX25" s="433"/>
      <c r="BY25" s="434"/>
      <c r="BZ25" s="434">
        <v>0</v>
      </c>
      <c r="CA25" s="434"/>
      <c r="CB25" s="434"/>
      <c r="CC25" s="433"/>
      <c r="CD25" s="434"/>
      <c r="CE25" s="434">
        <v>0</v>
      </c>
      <c r="CF25" s="434"/>
      <c r="CG25" s="434"/>
      <c r="CH25" s="433"/>
      <c r="CI25" s="434"/>
      <c r="CJ25" s="434">
        <v>0</v>
      </c>
      <c r="CK25" s="434"/>
      <c r="CL25" s="434"/>
      <c r="CM25" s="433"/>
      <c r="CN25" s="434"/>
      <c r="CO25" s="434">
        <v>0</v>
      </c>
      <c r="CP25" s="434"/>
      <c r="CQ25" s="434"/>
      <c r="CR25" s="433"/>
      <c r="CS25" s="434"/>
      <c r="CT25" s="434">
        <v>0</v>
      </c>
      <c r="CU25" s="434"/>
      <c r="CV25" s="434"/>
      <c r="CW25" s="433"/>
      <c r="CX25" s="434"/>
      <c r="CY25" s="434">
        <v>0</v>
      </c>
      <c r="CZ25" s="434"/>
      <c r="DA25" s="434"/>
      <c r="DB25" s="433"/>
      <c r="DC25" s="434"/>
      <c r="DD25" s="434">
        <v>0</v>
      </c>
      <c r="DE25" s="434"/>
      <c r="DF25" s="434"/>
      <c r="DG25" s="433"/>
      <c r="DH25" s="434"/>
      <c r="DI25" s="434">
        <v>0</v>
      </c>
      <c r="DJ25" s="434"/>
      <c r="DK25" s="434"/>
      <c r="DL25" s="433"/>
      <c r="DM25" s="434"/>
      <c r="DN25" s="434">
        <v>0</v>
      </c>
      <c r="DO25" s="434"/>
      <c r="DP25" s="434"/>
      <c r="DQ25" s="433"/>
      <c r="DR25" s="434"/>
      <c r="DS25" s="434">
        <v>0</v>
      </c>
      <c r="DT25" s="434"/>
      <c r="DU25" s="434"/>
      <c r="DV25" s="433"/>
      <c r="DW25" s="434"/>
      <c r="DX25" s="434">
        <v>0</v>
      </c>
      <c r="DY25" s="434"/>
      <c r="DZ25" s="434"/>
      <c r="EA25" s="405"/>
      <c r="EB25" s="389"/>
      <c r="EI25" s="550"/>
    </row>
    <row r="26" spans="1:139" x14ac:dyDescent="0.3">
      <c r="A26" s="388"/>
      <c r="B26" s="388"/>
      <c r="C26" s="388"/>
      <c r="D26" s="398"/>
      <c r="E26" s="165"/>
      <c r="F26" s="404"/>
      <c r="G26" s="388"/>
      <c r="H26" s="432"/>
      <c r="I26" s="432"/>
      <c r="J26" s="432"/>
      <c r="K26" s="431"/>
      <c r="L26" s="432"/>
      <c r="M26" s="432"/>
      <c r="N26" s="432"/>
      <c r="O26" s="432"/>
      <c r="P26" s="431"/>
      <c r="Q26" s="432"/>
      <c r="R26" s="432"/>
      <c r="S26" s="432"/>
      <c r="T26" s="432"/>
      <c r="U26" s="431"/>
      <c r="V26" s="432"/>
      <c r="W26" s="432"/>
      <c r="X26" s="432"/>
      <c r="Y26" s="432"/>
      <c r="Z26" s="431"/>
      <c r="AA26" s="432"/>
      <c r="AB26" s="432"/>
      <c r="AC26" s="432"/>
      <c r="AD26" s="432"/>
      <c r="AE26" s="431"/>
      <c r="AF26" s="432"/>
      <c r="AG26" s="432"/>
      <c r="AH26" s="432"/>
      <c r="AI26" s="432"/>
      <c r="AJ26" s="431"/>
      <c r="AK26" s="432"/>
      <c r="AL26" s="432"/>
      <c r="AM26" s="432"/>
      <c r="AN26" s="432"/>
      <c r="AO26" s="431"/>
      <c r="AP26" s="432"/>
      <c r="AQ26" s="432"/>
      <c r="AR26" s="432"/>
      <c r="AS26" s="432"/>
      <c r="AT26" s="431"/>
      <c r="AU26" s="432"/>
      <c r="AV26" s="432"/>
      <c r="AW26" s="432"/>
      <c r="AX26" s="432"/>
      <c r="AY26" s="431"/>
      <c r="AZ26" s="432"/>
      <c r="BA26" s="432"/>
      <c r="BB26" s="432"/>
      <c r="BC26" s="432"/>
      <c r="BD26" s="431"/>
      <c r="BE26" s="432"/>
      <c r="BF26" s="432"/>
      <c r="BG26" s="432"/>
      <c r="BH26" s="432"/>
      <c r="BI26" s="431"/>
      <c r="BJ26" s="432"/>
      <c r="BK26" s="432"/>
      <c r="BL26" s="432"/>
      <c r="BM26" s="432"/>
      <c r="BN26" s="431"/>
      <c r="BO26" s="432"/>
      <c r="BP26" s="432"/>
      <c r="BQ26" s="432"/>
      <c r="BR26" s="432"/>
      <c r="BS26" s="431"/>
      <c r="BT26" s="432"/>
      <c r="BU26" s="432"/>
      <c r="BV26" s="432"/>
      <c r="BW26" s="432"/>
      <c r="BX26" s="431"/>
      <c r="BY26" s="432"/>
      <c r="BZ26" s="432"/>
      <c r="CA26" s="432"/>
      <c r="CB26" s="432"/>
      <c r="CC26" s="431"/>
      <c r="CD26" s="432"/>
      <c r="CE26" s="432"/>
      <c r="CF26" s="432"/>
      <c r="CG26" s="432"/>
      <c r="CH26" s="431"/>
      <c r="CI26" s="432"/>
      <c r="CJ26" s="432"/>
      <c r="CK26" s="432"/>
      <c r="CL26" s="432"/>
      <c r="CM26" s="431"/>
      <c r="CN26" s="432"/>
      <c r="CO26" s="432"/>
      <c r="CP26" s="432"/>
      <c r="CQ26" s="432"/>
      <c r="CR26" s="431"/>
      <c r="CS26" s="432"/>
      <c r="CT26" s="432"/>
      <c r="CU26" s="432"/>
      <c r="CV26" s="432"/>
      <c r="CW26" s="431"/>
      <c r="CX26" s="432"/>
      <c r="CY26" s="432"/>
      <c r="CZ26" s="432"/>
      <c r="DA26" s="432"/>
      <c r="DB26" s="431"/>
      <c r="DC26" s="432"/>
      <c r="DD26" s="432"/>
      <c r="DE26" s="432"/>
      <c r="DF26" s="432"/>
      <c r="DG26" s="431"/>
      <c r="DH26" s="432"/>
      <c r="DI26" s="432"/>
      <c r="DJ26" s="432"/>
      <c r="DK26" s="432"/>
      <c r="DL26" s="431"/>
      <c r="DM26" s="432"/>
      <c r="DN26" s="432"/>
      <c r="DO26" s="432"/>
      <c r="DP26" s="432"/>
      <c r="DQ26" s="431"/>
      <c r="DR26" s="432"/>
      <c r="DS26" s="432"/>
      <c r="DT26" s="432"/>
      <c r="DU26" s="432"/>
      <c r="DV26" s="431"/>
      <c r="DW26" s="432"/>
      <c r="DX26" s="432"/>
      <c r="DY26" s="432"/>
      <c r="DZ26" s="432"/>
      <c r="EA26" s="470"/>
      <c r="EB26" s="388"/>
      <c r="EC26" s="411"/>
    </row>
    <row r="27" spans="1:139" s="411" customFormat="1" x14ac:dyDescent="0.3">
      <c r="A27" s="389"/>
      <c r="B27" s="389"/>
      <c r="C27" s="389"/>
      <c r="D27" s="405" t="s">
        <v>524</v>
      </c>
      <c r="E27" s="165" t="s">
        <v>88</v>
      </c>
      <c r="F27" s="404"/>
      <c r="G27" s="388"/>
      <c r="H27" s="53">
        <f>SUM(H28:H29)</f>
        <v>6516232.0023469981</v>
      </c>
      <c r="I27" s="53"/>
      <c r="J27" s="53"/>
      <c r="K27" s="327"/>
      <c r="L27" s="53"/>
      <c r="M27" s="53">
        <f>SUM(M28:M29)</f>
        <v>0</v>
      </c>
      <c r="N27" s="53"/>
      <c r="O27" s="53"/>
      <c r="P27" s="327"/>
      <c r="Q27" s="53"/>
      <c r="R27" s="53">
        <f>SUM(R28:R29)</f>
        <v>871744.25600000005</v>
      </c>
      <c r="S27" s="53"/>
      <c r="T27" s="53"/>
      <c r="U27" s="327"/>
      <c r="V27" s="53"/>
      <c r="W27" s="53">
        <f>SUM(W28:W29)</f>
        <v>0</v>
      </c>
      <c r="X27" s="53"/>
      <c r="Y27" s="53"/>
      <c r="Z27" s="327"/>
      <c r="AA27" s="53"/>
      <c r="AB27" s="53">
        <f>SUM(AB28:AB29)</f>
        <v>126224</v>
      </c>
      <c r="AC27" s="53"/>
      <c r="AD27" s="53"/>
      <c r="AE27" s="327"/>
      <c r="AF27" s="53"/>
      <c r="AG27" s="53">
        <f>SUM(AG28:AG29)</f>
        <v>0</v>
      </c>
      <c r="AH27" s="53"/>
      <c r="AI27" s="53"/>
      <c r="AJ27" s="327"/>
      <c r="AK27" s="53"/>
      <c r="AL27" s="53">
        <f>SUM(AL28:AL29)</f>
        <v>3836</v>
      </c>
      <c r="AM27" s="53"/>
      <c r="AN27" s="53"/>
      <c r="AO27" s="327"/>
      <c r="AP27" s="53"/>
      <c r="AQ27" s="53">
        <f>SUM(AQ28:AQ29)</f>
        <v>1831061</v>
      </c>
      <c r="AR27" s="53"/>
      <c r="AS27" s="53"/>
      <c r="AT27" s="327"/>
      <c r="AU27" s="53"/>
      <c r="AV27" s="53">
        <f>SUM(AV28:AV29)</f>
        <v>2236273</v>
      </c>
      <c r="AW27" s="53"/>
      <c r="AX27" s="53"/>
      <c r="AY27" s="327"/>
      <c r="AZ27" s="53"/>
      <c r="BA27" s="53">
        <f>SUM(BA28:BA29)</f>
        <v>1620990</v>
      </c>
      <c r="BB27" s="53"/>
      <c r="BC27" s="53"/>
      <c r="BD27" s="327"/>
      <c r="BE27" s="53"/>
      <c r="BF27" s="53">
        <f>SUM(BF28:BF29)</f>
        <v>89678</v>
      </c>
      <c r="BG27" s="53"/>
      <c r="BH27" s="53"/>
      <c r="BI27" s="327"/>
      <c r="BJ27" s="53"/>
      <c r="BK27" s="53">
        <f>SUM(BK28:BK29)</f>
        <v>1022787</v>
      </c>
      <c r="BL27" s="53"/>
      <c r="BM27" s="53"/>
      <c r="BN27" s="327"/>
      <c r="BO27" s="53"/>
      <c r="BP27" s="53">
        <f>SUM(BP28:BP29)</f>
        <v>6347564</v>
      </c>
      <c r="BQ27" s="53"/>
      <c r="BR27" s="53"/>
      <c r="BS27" s="327"/>
      <c r="BT27" s="53"/>
      <c r="BU27" s="53">
        <f>SUM(BU28:BU29)</f>
        <v>14150157.256000001</v>
      </c>
      <c r="BV27" s="53"/>
      <c r="BW27" s="53"/>
      <c r="BX27" s="327"/>
      <c r="BY27" s="53"/>
      <c r="BZ27" s="53">
        <f>SUM(BZ28:BZ29)</f>
        <v>1285536</v>
      </c>
      <c r="CA27" s="53"/>
      <c r="CB27" s="53"/>
      <c r="CC27" s="327"/>
      <c r="CD27" s="53"/>
      <c r="CE27" s="53">
        <f>SUM(CE28:CE29)</f>
        <v>0</v>
      </c>
      <c r="CF27" s="53"/>
      <c r="CG27" s="53"/>
      <c r="CH27" s="327"/>
      <c r="CI27" s="53"/>
      <c r="CJ27" s="53">
        <f>SUM(CJ28:CJ29)</f>
        <v>12272</v>
      </c>
      <c r="CK27" s="53"/>
      <c r="CL27" s="53"/>
      <c r="CM27" s="327"/>
      <c r="CN27" s="53"/>
      <c r="CO27" s="53">
        <f>SUM(CO28:CO29)</f>
        <v>0</v>
      </c>
      <c r="CP27" s="53"/>
      <c r="CQ27" s="53"/>
      <c r="CR27" s="327"/>
      <c r="CS27" s="53"/>
      <c r="CT27" s="53">
        <f>SUM(CT28:CT29)</f>
        <v>1736919</v>
      </c>
      <c r="CU27" s="53"/>
      <c r="CV27" s="53"/>
      <c r="CW27" s="327"/>
      <c r="CX27" s="53"/>
      <c r="CY27" s="53">
        <f>SUM(CY28:CY29)</f>
        <v>245929</v>
      </c>
      <c r="CZ27" s="53"/>
      <c r="DA27" s="53"/>
      <c r="DB27" s="327"/>
      <c r="DC27" s="53"/>
      <c r="DD27" s="53">
        <f>SUM(DD28:DD29)</f>
        <v>2261765</v>
      </c>
      <c r="DE27" s="53"/>
      <c r="DF27" s="53"/>
      <c r="DG27" s="327"/>
      <c r="DH27" s="53"/>
      <c r="DI27" s="53">
        <f>SUM(DI28:DI29)</f>
        <v>1146180</v>
      </c>
      <c r="DJ27" s="53"/>
      <c r="DK27" s="53"/>
      <c r="DL27" s="327"/>
      <c r="DM27" s="53"/>
      <c r="DN27" s="53">
        <f>SUM(DN28:DN29)</f>
        <v>1005353</v>
      </c>
      <c r="DO27" s="53"/>
      <c r="DP27" s="53"/>
      <c r="DQ27" s="327"/>
      <c r="DR27" s="53"/>
      <c r="DS27" s="53">
        <f>SUM(DS28:DS29)</f>
        <v>41798</v>
      </c>
      <c r="DT27" s="53"/>
      <c r="DU27" s="53"/>
      <c r="DV27" s="327"/>
      <c r="DW27" s="53"/>
      <c r="DX27" s="53">
        <f>SUM(DX28:DX29)</f>
        <v>360442</v>
      </c>
      <c r="DY27" s="53"/>
      <c r="DZ27" s="53"/>
      <c r="EA27" s="54"/>
      <c r="EB27" s="389"/>
    </row>
    <row r="28" spans="1:139" s="411" customFormat="1" x14ac:dyDescent="0.3">
      <c r="A28" s="389"/>
      <c r="B28" s="389"/>
      <c r="C28" s="389"/>
      <c r="D28" s="551" t="s">
        <v>525</v>
      </c>
      <c r="E28" s="532"/>
      <c r="F28" s="552"/>
      <c r="G28" s="553"/>
      <c r="H28" s="554">
        <f>4082765.44774151+3285278.22071958-851811.666114092</f>
        <v>6516232.0023469981</v>
      </c>
      <c r="I28" s="554"/>
      <c r="J28" s="74"/>
      <c r="K28" s="74"/>
      <c r="L28" s="554"/>
      <c r="M28" s="554">
        <v>0</v>
      </c>
      <c r="N28" s="554"/>
      <c r="O28" s="74"/>
      <c r="P28" s="74"/>
      <c r="Q28" s="554"/>
      <c r="R28" s="554">
        <v>871744.25600000005</v>
      </c>
      <c r="S28" s="554"/>
      <c r="T28" s="74"/>
      <c r="U28" s="74"/>
      <c r="V28" s="554"/>
      <c r="W28" s="554">
        <v>0</v>
      </c>
      <c r="X28" s="554"/>
      <c r="Y28" s="74"/>
      <c r="Z28" s="74"/>
      <c r="AA28" s="554"/>
      <c r="AB28" s="554">
        <v>126224</v>
      </c>
      <c r="AC28" s="554"/>
      <c r="AD28" s="74"/>
      <c r="AE28" s="74"/>
      <c r="AF28" s="554"/>
      <c r="AG28" s="554">
        <v>0</v>
      </c>
      <c r="AH28" s="554"/>
      <c r="AI28" s="74"/>
      <c r="AJ28" s="74"/>
      <c r="AK28" s="554"/>
      <c r="AL28" s="554">
        <v>3836</v>
      </c>
      <c r="AM28" s="554"/>
      <c r="AN28" s="74"/>
      <c r="AO28" s="74"/>
      <c r="AP28" s="554"/>
      <c r="AQ28" s="554">
        <v>1831061</v>
      </c>
      <c r="AR28" s="554"/>
      <c r="AS28" s="74"/>
      <c r="AT28" s="74"/>
      <c r="AU28" s="554"/>
      <c r="AV28" s="554">
        <v>2236273</v>
      </c>
      <c r="AW28" s="554"/>
      <c r="AX28" s="74"/>
      <c r="AY28" s="74"/>
      <c r="AZ28" s="554"/>
      <c r="BA28" s="554">
        <v>1620990</v>
      </c>
      <c r="BB28" s="491"/>
      <c r="BC28" s="74"/>
      <c r="BD28" s="74"/>
      <c r="BE28" s="491"/>
      <c r="BF28" s="554">
        <v>89678</v>
      </c>
      <c r="BG28" s="554"/>
      <c r="BH28" s="74"/>
      <c r="BI28" s="74"/>
      <c r="BJ28" s="554"/>
      <c r="BK28" s="554">
        <v>1022787</v>
      </c>
      <c r="BL28" s="554"/>
      <c r="BM28" s="74"/>
      <c r="BN28" s="74"/>
      <c r="BO28" s="554"/>
      <c r="BP28" s="554">
        <v>6347564</v>
      </c>
      <c r="BQ28" s="554"/>
      <c r="BR28" s="74"/>
      <c r="BS28" s="74"/>
      <c r="BT28" s="554"/>
      <c r="BU28" s="554">
        <f>SUM(M28:BP28)</f>
        <v>14150157.256000001</v>
      </c>
      <c r="BV28" s="554"/>
      <c r="BW28" s="74"/>
      <c r="BX28" s="74"/>
      <c r="BY28" s="554"/>
      <c r="BZ28" s="554">
        <v>1285536</v>
      </c>
      <c r="CA28" s="554"/>
      <c r="CB28" s="74"/>
      <c r="CC28" s="74"/>
      <c r="CD28" s="554"/>
      <c r="CE28" s="554">
        <v>0</v>
      </c>
      <c r="CF28" s="554"/>
      <c r="CG28" s="74"/>
      <c r="CH28" s="74"/>
      <c r="CI28" s="554"/>
      <c r="CJ28" s="554">
        <v>12272</v>
      </c>
      <c r="CK28" s="554"/>
      <c r="CL28" s="74"/>
      <c r="CM28" s="74"/>
      <c r="CN28" s="554"/>
      <c r="CO28" s="554">
        <v>0</v>
      </c>
      <c r="CP28" s="554"/>
      <c r="CQ28" s="74"/>
      <c r="CR28" s="74"/>
      <c r="CS28" s="554"/>
      <c r="CT28" s="554">
        <v>1736919</v>
      </c>
      <c r="CU28" s="554"/>
      <c r="CV28" s="74"/>
      <c r="CW28" s="74"/>
      <c r="CX28" s="554"/>
      <c r="CY28" s="554">
        <v>245929</v>
      </c>
      <c r="CZ28" s="554"/>
      <c r="DA28" s="74"/>
      <c r="DB28" s="74"/>
      <c r="DC28" s="554"/>
      <c r="DD28" s="554">
        <v>2261765</v>
      </c>
      <c r="DE28" s="554"/>
      <c r="DF28" s="74"/>
      <c r="DG28" s="74"/>
      <c r="DH28" s="554"/>
      <c r="DI28" s="554">
        <v>1146180</v>
      </c>
      <c r="DJ28" s="554"/>
      <c r="DK28" s="74"/>
      <c r="DL28" s="74"/>
      <c r="DM28" s="554"/>
      <c r="DN28" s="554">
        <v>1005353</v>
      </c>
      <c r="DO28" s="491"/>
      <c r="DP28" s="74"/>
      <c r="DQ28" s="74"/>
      <c r="DR28" s="491"/>
      <c r="DS28" s="554">
        <v>41798</v>
      </c>
      <c r="DT28" s="554"/>
      <c r="DU28" s="74"/>
      <c r="DV28" s="74"/>
      <c r="DW28" s="554"/>
      <c r="DX28" s="554">
        <v>360442</v>
      </c>
      <c r="DY28" s="554"/>
      <c r="DZ28" s="74"/>
      <c r="EA28" s="54"/>
      <c r="EB28" s="389"/>
    </row>
    <row r="29" spans="1:139" hidden="1" x14ac:dyDescent="0.3">
      <c r="A29" s="388"/>
      <c r="B29" s="388"/>
      <c r="C29" s="388"/>
      <c r="D29" s="555" t="s">
        <v>526</v>
      </c>
      <c r="E29" s="165"/>
      <c r="F29" s="404"/>
      <c r="G29" s="427"/>
      <c r="H29" s="547">
        <v>0</v>
      </c>
      <c r="I29" s="548"/>
      <c r="J29" s="291"/>
      <c r="K29" s="290"/>
      <c r="L29" s="549"/>
      <c r="M29" s="547">
        <v>0</v>
      </c>
      <c r="N29" s="548"/>
      <c r="O29" s="291"/>
      <c r="P29" s="290"/>
      <c r="Q29" s="549"/>
      <c r="R29" s="547">
        <v>0</v>
      </c>
      <c r="S29" s="548"/>
      <c r="T29" s="291"/>
      <c r="U29" s="290"/>
      <c r="V29" s="549"/>
      <c r="W29" s="547">
        <v>0</v>
      </c>
      <c r="X29" s="548"/>
      <c r="Y29" s="291"/>
      <c r="Z29" s="290"/>
      <c r="AA29" s="549"/>
      <c r="AB29" s="547">
        <v>0</v>
      </c>
      <c r="AC29" s="548"/>
      <c r="AD29" s="291"/>
      <c r="AE29" s="290"/>
      <c r="AF29" s="549"/>
      <c r="AG29" s="547">
        <v>0</v>
      </c>
      <c r="AH29" s="548"/>
      <c r="AI29" s="291"/>
      <c r="AJ29" s="290"/>
      <c r="AK29" s="549"/>
      <c r="AL29" s="547">
        <v>0</v>
      </c>
      <c r="AM29" s="548"/>
      <c r="AN29" s="291"/>
      <c r="AO29" s="290"/>
      <c r="AP29" s="549"/>
      <c r="AQ29" s="547">
        <v>0</v>
      </c>
      <c r="AR29" s="548"/>
      <c r="AS29" s="291"/>
      <c r="AT29" s="290"/>
      <c r="AU29" s="549"/>
      <c r="AV29" s="547">
        <v>0</v>
      </c>
      <c r="AW29" s="548"/>
      <c r="AX29" s="291"/>
      <c r="AY29" s="290"/>
      <c r="AZ29" s="549"/>
      <c r="BA29" s="547">
        <v>0</v>
      </c>
      <c r="BB29" s="548"/>
      <c r="BC29" s="291"/>
      <c r="BD29" s="290"/>
      <c r="BE29" s="549"/>
      <c r="BF29" s="547">
        <v>0</v>
      </c>
      <c r="BG29" s="548"/>
      <c r="BH29" s="291"/>
      <c r="BI29" s="290"/>
      <c r="BJ29" s="549"/>
      <c r="BK29" s="547">
        <v>0</v>
      </c>
      <c r="BL29" s="548"/>
      <c r="BM29" s="291"/>
      <c r="BN29" s="290"/>
      <c r="BO29" s="549"/>
      <c r="BP29" s="547">
        <v>0</v>
      </c>
      <c r="BQ29" s="548"/>
      <c r="BR29" s="291"/>
      <c r="BS29" s="290"/>
      <c r="BT29" s="549"/>
      <c r="BU29" s="547">
        <f>SUM(M29:BP29)</f>
        <v>0</v>
      </c>
      <c r="BV29" s="548"/>
      <c r="BW29" s="291"/>
      <c r="BX29" s="290"/>
      <c r="BY29" s="549"/>
      <c r="BZ29" s="547">
        <v>0</v>
      </c>
      <c r="CA29" s="548"/>
      <c r="CB29" s="291"/>
      <c r="CC29" s="290"/>
      <c r="CD29" s="549"/>
      <c r="CE29" s="547">
        <v>0</v>
      </c>
      <c r="CF29" s="548"/>
      <c r="CG29" s="291"/>
      <c r="CH29" s="290"/>
      <c r="CI29" s="549"/>
      <c r="CJ29" s="547">
        <v>0</v>
      </c>
      <c r="CK29" s="548"/>
      <c r="CL29" s="291"/>
      <c r="CM29" s="290"/>
      <c r="CN29" s="549"/>
      <c r="CO29" s="547">
        <v>0</v>
      </c>
      <c r="CP29" s="548"/>
      <c r="CQ29" s="291"/>
      <c r="CR29" s="290"/>
      <c r="CS29" s="549"/>
      <c r="CT29" s="547">
        <v>0</v>
      </c>
      <c r="CU29" s="548"/>
      <c r="CV29" s="291"/>
      <c r="CW29" s="290"/>
      <c r="CX29" s="549"/>
      <c r="CY29" s="547">
        <v>0</v>
      </c>
      <c r="CZ29" s="548"/>
      <c r="DA29" s="291"/>
      <c r="DB29" s="290"/>
      <c r="DC29" s="549"/>
      <c r="DD29" s="547">
        <v>0</v>
      </c>
      <c r="DE29" s="548"/>
      <c r="DF29" s="291"/>
      <c r="DG29" s="290"/>
      <c r="DH29" s="549"/>
      <c r="DI29" s="547">
        <v>0</v>
      </c>
      <c r="DJ29" s="548"/>
      <c r="DK29" s="291"/>
      <c r="DL29" s="290"/>
      <c r="DM29" s="549"/>
      <c r="DN29" s="547">
        <v>0</v>
      </c>
      <c r="DO29" s="548"/>
      <c r="DP29" s="291"/>
      <c r="DQ29" s="290"/>
      <c r="DR29" s="549"/>
      <c r="DS29" s="547">
        <v>0</v>
      </c>
      <c r="DT29" s="548"/>
      <c r="DU29" s="291"/>
      <c r="DV29" s="290"/>
      <c r="DW29" s="549"/>
      <c r="DX29" s="547">
        <v>0</v>
      </c>
      <c r="DY29" s="548"/>
      <c r="DZ29" s="291"/>
      <c r="EA29" s="543"/>
      <c r="EB29" s="388"/>
      <c r="EC29" s="411"/>
    </row>
    <row r="30" spans="1:139" x14ac:dyDescent="0.3">
      <c r="A30" s="388"/>
      <c r="B30" s="388"/>
      <c r="C30" s="388"/>
      <c r="D30" s="398"/>
      <c r="E30" s="165"/>
      <c r="F30" s="404"/>
      <c r="G30" s="388"/>
      <c r="H30" s="388"/>
      <c r="I30" s="388"/>
      <c r="J30" s="388"/>
      <c r="K30" s="404"/>
      <c r="L30" s="388"/>
      <c r="M30" s="388"/>
      <c r="N30" s="388"/>
      <c r="O30" s="388"/>
      <c r="P30" s="404"/>
      <c r="Q30" s="388"/>
      <c r="R30" s="388"/>
      <c r="S30" s="388"/>
      <c r="T30" s="388"/>
      <c r="U30" s="404"/>
      <c r="V30" s="388"/>
      <c r="W30" s="388"/>
      <c r="X30" s="388"/>
      <c r="Y30" s="388"/>
      <c r="Z30" s="404"/>
      <c r="AA30" s="388"/>
      <c r="AB30" s="388"/>
      <c r="AC30" s="388"/>
      <c r="AD30" s="388"/>
      <c r="AE30" s="404"/>
      <c r="AF30" s="388"/>
      <c r="AG30" s="388"/>
      <c r="AH30" s="388"/>
      <c r="AI30" s="388"/>
      <c r="AJ30" s="404"/>
      <c r="AK30" s="388"/>
      <c r="AL30" s="388"/>
      <c r="AM30" s="388"/>
      <c r="AN30" s="388"/>
      <c r="AO30" s="404"/>
      <c r="AP30" s="388"/>
      <c r="AQ30" s="388"/>
      <c r="AR30" s="388"/>
      <c r="AS30" s="388"/>
      <c r="AT30" s="404"/>
      <c r="AU30" s="388"/>
      <c r="AV30" s="388"/>
      <c r="AW30" s="388"/>
      <c r="AX30" s="388"/>
      <c r="AY30" s="404"/>
      <c r="AZ30" s="388"/>
      <c r="BA30" s="388"/>
      <c r="BB30" s="388"/>
      <c r="BC30" s="388"/>
      <c r="BD30" s="404"/>
      <c r="BE30" s="388"/>
      <c r="BF30" s="388"/>
      <c r="BG30" s="388"/>
      <c r="BH30" s="388"/>
      <c r="BI30" s="404"/>
      <c r="BJ30" s="388"/>
      <c r="BK30" s="388"/>
      <c r="BL30" s="388"/>
      <c r="BM30" s="388"/>
      <c r="BN30" s="404"/>
      <c r="BO30" s="388"/>
      <c r="BP30" s="388"/>
      <c r="BQ30" s="388"/>
      <c r="BR30" s="388"/>
      <c r="BS30" s="404"/>
      <c r="BT30" s="388"/>
      <c r="BU30" s="388"/>
      <c r="BV30" s="388"/>
      <c r="BW30" s="291"/>
      <c r="BX30" s="404"/>
      <c r="BY30" s="388"/>
      <c r="BZ30" s="388"/>
      <c r="CA30" s="388"/>
      <c r="CB30" s="388"/>
      <c r="CC30" s="404"/>
      <c r="CD30" s="388"/>
      <c r="CE30" s="388"/>
      <c r="CF30" s="388"/>
      <c r="CG30" s="388"/>
      <c r="CH30" s="404"/>
      <c r="CI30" s="388"/>
      <c r="CJ30" s="388"/>
      <c r="CK30" s="388"/>
      <c r="CL30" s="388"/>
      <c r="CM30" s="404"/>
      <c r="CN30" s="388"/>
      <c r="CO30" s="388"/>
      <c r="CP30" s="388"/>
      <c r="CQ30" s="388"/>
      <c r="CR30" s="404"/>
      <c r="CS30" s="388"/>
      <c r="CT30" s="388"/>
      <c r="CU30" s="388"/>
      <c r="CV30" s="388"/>
      <c r="CW30" s="404"/>
      <c r="CX30" s="388"/>
      <c r="CY30" s="388"/>
      <c r="CZ30" s="388"/>
      <c r="DA30" s="388"/>
      <c r="DB30" s="404"/>
      <c r="DC30" s="388"/>
      <c r="DD30" s="388"/>
      <c r="DE30" s="388"/>
      <c r="DF30" s="388"/>
      <c r="DG30" s="404"/>
      <c r="DH30" s="388"/>
      <c r="DI30" s="388"/>
      <c r="DJ30" s="388"/>
      <c r="DK30" s="388"/>
      <c r="DL30" s="404"/>
      <c r="DM30" s="388"/>
      <c r="DN30" s="388"/>
      <c r="DO30" s="388"/>
      <c r="DP30" s="388"/>
      <c r="DQ30" s="404"/>
      <c r="DR30" s="388"/>
      <c r="DS30" s="388"/>
      <c r="DT30" s="388"/>
      <c r="DU30" s="388"/>
      <c r="DV30" s="404"/>
      <c r="DW30" s="388"/>
      <c r="DX30" s="388"/>
      <c r="DY30" s="388"/>
      <c r="DZ30" s="388"/>
      <c r="EA30" s="543"/>
      <c r="EB30" s="388"/>
      <c r="EC30" s="411"/>
    </row>
    <row r="31" spans="1:139" x14ac:dyDescent="0.3">
      <c r="A31" s="388"/>
      <c r="B31" s="388"/>
      <c r="C31" s="388"/>
      <c r="D31" s="398"/>
      <c r="E31" s="165"/>
      <c r="F31" s="404"/>
      <c r="G31" s="388"/>
      <c r="H31" s="432"/>
      <c r="I31" s="432"/>
      <c r="J31" s="432"/>
      <c r="K31" s="431"/>
      <c r="L31" s="432"/>
      <c r="M31" s="432"/>
      <c r="N31" s="432"/>
      <c r="O31" s="432"/>
      <c r="P31" s="431"/>
      <c r="Q31" s="432"/>
      <c r="R31" s="432"/>
      <c r="S31" s="432"/>
      <c r="T31" s="432"/>
      <c r="U31" s="431"/>
      <c r="V31" s="432"/>
      <c r="W31" s="432"/>
      <c r="X31" s="432"/>
      <c r="Y31" s="432"/>
      <c r="Z31" s="431"/>
      <c r="AA31" s="432"/>
      <c r="AB31" s="432"/>
      <c r="AC31" s="432"/>
      <c r="AD31" s="432"/>
      <c r="AE31" s="431"/>
      <c r="AF31" s="432"/>
      <c r="AG31" s="432"/>
      <c r="AH31" s="432"/>
      <c r="AI31" s="432"/>
      <c r="AJ31" s="431"/>
      <c r="AK31" s="432"/>
      <c r="AL31" s="432"/>
      <c r="AM31" s="432"/>
      <c r="AN31" s="432"/>
      <c r="AO31" s="431"/>
      <c r="AP31" s="432"/>
      <c r="AQ31" s="432"/>
      <c r="AR31" s="432"/>
      <c r="AS31" s="432"/>
      <c r="AT31" s="431"/>
      <c r="AU31" s="432"/>
      <c r="AV31" s="432"/>
      <c r="AW31" s="432"/>
      <c r="AX31" s="432"/>
      <c r="AY31" s="431"/>
      <c r="AZ31" s="432"/>
      <c r="BA31" s="432"/>
      <c r="BB31" s="432"/>
      <c r="BC31" s="432"/>
      <c r="BD31" s="431"/>
      <c r="BE31" s="432"/>
      <c r="BF31" s="432"/>
      <c r="BG31" s="432"/>
      <c r="BH31" s="432"/>
      <c r="BI31" s="431"/>
      <c r="BJ31" s="432"/>
      <c r="BK31" s="432"/>
      <c r="BL31" s="432"/>
      <c r="BM31" s="432"/>
      <c r="BN31" s="431"/>
      <c r="BO31" s="432"/>
      <c r="BP31" s="432"/>
      <c r="BQ31" s="432"/>
      <c r="BR31" s="432"/>
      <c r="BS31" s="431"/>
      <c r="BT31" s="432"/>
      <c r="BU31" s="432"/>
      <c r="BV31" s="432"/>
      <c r="BW31" s="432"/>
      <c r="BX31" s="431"/>
      <c r="BY31" s="432"/>
      <c r="BZ31" s="432"/>
      <c r="CA31" s="432"/>
      <c r="CB31" s="432"/>
      <c r="CC31" s="431"/>
      <c r="CD31" s="432"/>
      <c r="CE31" s="432"/>
      <c r="CF31" s="432"/>
      <c r="CG31" s="432"/>
      <c r="CH31" s="431"/>
      <c r="CI31" s="432"/>
      <c r="CJ31" s="432"/>
      <c r="CK31" s="432"/>
      <c r="CL31" s="432"/>
      <c r="CM31" s="431"/>
      <c r="CN31" s="432"/>
      <c r="CO31" s="432"/>
      <c r="CP31" s="432"/>
      <c r="CQ31" s="432"/>
      <c r="CR31" s="431"/>
      <c r="CS31" s="432"/>
      <c r="CT31" s="432"/>
      <c r="CU31" s="432"/>
      <c r="CV31" s="432"/>
      <c r="CW31" s="431"/>
      <c r="CX31" s="432"/>
      <c r="CY31" s="432"/>
      <c r="CZ31" s="432"/>
      <c r="DA31" s="432"/>
      <c r="DB31" s="431"/>
      <c r="DC31" s="432"/>
      <c r="DD31" s="432"/>
      <c r="DE31" s="432"/>
      <c r="DF31" s="432"/>
      <c r="DG31" s="431"/>
      <c r="DH31" s="432"/>
      <c r="DI31" s="432"/>
      <c r="DJ31" s="432"/>
      <c r="DK31" s="432"/>
      <c r="DL31" s="431"/>
      <c r="DM31" s="432"/>
      <c r="DN31" s="432"/>
      <c r="DO31" s="432"/>
      <c r="DP31" s="432"/>
      <c r="DQ31" s="431"/>
      <c r="DR31" s="432"/>
      <c r="DS31" s="432"/>
      <c r="DT31" s="432"/>
      <c r="DU31" s="432"/>
      <c r="DV31" s="431"/>
      <c r="DW31" s="432"/>
      <c r="DX31" s="432"/>
      <c r="DY31" s="432"/>
      <c r="DZ31" s="432"/>
      <c r="EA31" s="470"/>
      <c r="EB31" s="388"/>
      <c r="EC31" s="411"/>
      <c r="EI31" s="556"/>
    </row>
    <row r="32" spans="1:139" s="411" customFormat="1" x14ac:dyDescent="0.3">
      <c r="A32" s="389"/>
      <c r="B32" s="389"/>
      <c r="C32" s="389"/>
      <c r="D32" s="405" t="s">
        <v>527</v>
      </c>
      <c r="E32" s="165" t="s">
        <v>116</v>
      </c>
      <c r="F32" s="404"/>
      <c r="G32" s="53"/>
      <c r="H32" s="434">
        <f>SUM(H33:H34)</f>
        <v>0</v>
      </c>
      <c r="I32" s="53"/>
      <c r="J32" s="53"/>
      <c r="K32" s="327"/>
      <c r="L32" s="53"/>
      <c r="M32" s="53">
        <f>SUM(M33:M34)</f>
        <v>0</v>
      </c>
      <c r="N32" s="53"/>
      <c r="O32" s="53"/>
      <c r="P32" s="327"/>
      <c r="Q32" s="53"/>
      <c r="R32" s="53">
        <f>SUM(R33:R34)</f>
        <v>0</v>
      </c>
      <c r="S32" s="53"/>
      <c r="T32" s="53"/>
      <c r="U32" s="327"/>
      <c r="V32" s="53"/>
      <c r="W32" s="53">
        <f>SUM(W33:W34)</f>
        <v>0</v>
      </c>
      <c r="X32" s="53"/>
      <c r="Y32" s="53"/>
      <c r="Z32" s="327"/>
      <c r="AA32" s="53"/>
      <c r="AB32" s="53">
        <f>SUM(AB33:AB34)</f>
        <v>-22185</v>
      </c>
      <c r="AC32" s="53"/>
      <c r="AD32" s="53"/>
      <c r="AE32" s="327"/>
      <c r="AF32" s="53"/>
      <c r="AG32" s="53">
        <f>SUM(AG33:AG34)</f>
        <v>0</v>
      </c>
      <c r="AH32" s="53"/>
      <c r="AI32" s="53"/>
      <c r="AJ32" s="327"/>
      <c r="AK32" s="53"/>
      <c r="AL32" s="53">
        <f>SUM(AL33:AL34)</f>
        <v>0</v>
      </c>
      <c r="AM32" s="53"/>
      <c r="AN32" s="53"/>
      <c r="AO32" s="327"/>
      <c r="AP32" s="53"/>
      <c r="AQ32" s="53">
        <f>SUM(AQ33:AQ34)</f>
        <v>0</v>
      </c>
      <c r="AR32" s="53"/>
      <c r="AS32" s="53"/>
      <c r="AT32" s="327"/>
      <c r="AU32" s="53"/>
      <c r="AV32" s="53">
        <f>SUM(AV33:AV34)</f>
        <v>0</v>
      </c>
      <c r="AW32" s="53"/>
      <c r="AX32" s="53"/>
      <c r="AY32" s="327"/>
      <c r="AZ32" s="53"/>
      <c r="BA32" s="53">
        <f>SUM(BA33:BA34)</f>
        <v>0</v>
      </c>
      <c r="BB32" s="53"/>
      <c r="BC32" s="53"/>
      <c r="BD32" s="327"/>
      <c r="BE32" s="53"/>
      <c r="BF32" s="53">
        <f>SUM(BF33:BF34)</f>
        <v>0</v>
      </c>
      <c r="BG32" s="53"/>
      <c r="BH32" s="53"/>
      <c r="BI32" s="327"/>
      <c r="BJ32" s="53"/>
      <c r="BK32" s="53">
        <f>SUM(BK33:BK34)</f>
        <v>0</v>
      </c>
      <c r="BL32" s="53"/>
      <c r="BM32" s="53"/>
      <c r="BN32" s="327"/>
      <c r="BO32" s="53"/>
      <c r="BP32" s="53">
        <f>SUM(BP33:BP34)</f>
        <v>-510</v>
      </c>
      <c r="BQ32" s="434"/>
      <c r="BR32" s="434"/>
      <c r="BS32" s="433"/>
      <c r="BT32" s="53"/>
      <c r="BU32" s="434">
        <f>SUM(BU33:BU34)</f>
        <v>-22695</v>
      </c>
      <c r="BV32" s="53"/>
      <c r="BW32" s="434"/>
      <c r="BX32" s="327"/>
      <c r="BY32" s="53"/>
      <c r="BZ32" s="53">
        <f>SUM(BZ33:BZ34)</f>
        <v>0</v>
      </c>
      <c r="CA32" s="53"/>
      <c r="CB32" s="53"/>
      <c r="CC32" s="327"/>
      <c r="CD32" s="53"/>
      <c r="CE32" s="53">
        <f>SUM(CE33:CE34)</f>
        <v>0</v>
      </c>
      <c r="CF32" s="53"/>
      <c r="CG32" s="53"/>
      <c r="CH32" s="327"/>
      <c r="CI32" s="53"/>
      <c r="CJ32" s="53">
        <f>SUM(CJ33:CJ34)</f>
        <v>0</v>
      </c>
      <c r="CK32" s="53"/>
      <c r="CL32" s="53"/>
      <c r="CM32" s="327"/>
      <c r="CN32" s="53"/>
      <c r="CO32" s="53">
        <f>SUM(CO33:CO34)</f>
        <v>0</v>
      </c>
      <c r="CP32" s="53"/>
      <c r="CQ32" s="53"/>
      <c r="CR32" s="327"/>
      <c r="CS32" s="53"/>
      <c r="CT32" s="53">
        <f>SUM(CT33:CT34)</f>
        <v>-98</v>
      </c>
      <c r="CU32" s="53"/>
      <c r="CV32" s="53"/>
      <c r="CW32" s="327"/>
      <c r="CX32" s="53"/>
      <c r="CY32" s="53">
        <f>SUM(CY33:CY34)</f>
        <v>0</v>
      </c>
      <c r="CZ32" s="53"/>
      <c r="DA32" s="53"/>
      <c r="DB32" s="327"/>
      <c r="DC32" s="53"/>
      <c r="DD32" s="53">
        <f>SUM(DD33:DD34)</f>
        <v>-372528</v>
      </c>
      <c r="DE32" s="53"/>
      <c r="DF32" s="53"/>
      <c r="DG32" s="327"/>
      <c r="DH32" s="53"/>
      <c r="DI32" s="53">
        <f>SUM(DI33:DI34)</f>
        <v>0</v>
      </c>
      <c r="DJ32" s="53"/>
      <c r="DK32" s="53"/>
      <c r="DL32" s="327"/>
      <c r="DM32" s="53"/>
      <c r="DN32" s="53">
        <f>SUM(DN33:DN34)</f>
        <v>0</v>
      </c>
      <c r="DO32" s="53"/>
      <c r="DP32" s="53"/>
      <c r="DQ32" s="327"/>
      <c r="DR32" s="53"/>
      <c r="DS32" s="53">
        <f>SUM(DS33:DS34)</f>
        <v>0</v>
      </c>
      <c r="DT32" s="53"/>
      <c r="DU32" s="53"/>
      <c r="DV32" s="327"/>
      <c r="DW32" s="53"/>
      <c r="DX32" s="53">
        <f>SUM(DX33:DX34)</f>
        <v>0</v>
      </c>
      <c r="DY32" s="53"/>
      <c r="DZ32" s="53"/>
      <c r="EA32" s="498"/>
      <c r="EB32" s="389"/>
    </row>
    <row r="33" spans="1:133" s="411" customFormat="1" x14ac:dyDescent="0.3">
      <c r="A33" s="389"/>
      <c r="B33" s="389"/>
      <c r="C33" s="389"/>
      <c r="D33" s="551" t="s">
        <v>528</v>
      </c>
      <c r="E33" s="532"/>
      <c r="F33" s="552"/>
      <c r="G33" s="553"/>
      <c r="H33" s="554">
        <v>0</v>
      </c>
      <c r="I33" s="554"/>
      <c r="J33" s="74"/>
      <c r="K33" s="74"/>
      <c r="L33" s="554"/>
      <c r="M33" s="554">
        <v>0</v>
      </c>
      <c r="N33" s="554"/>
      <c r="O33" s="74"/>
      <c r="P33" s="74"/>
      <c r="Q33" s="554"/>
      <c r="R33" s="554">
        <v>0</v>
      </c>
      <c r="S33" s="554"/>
      <c r="T33" s="74"/>
      <c r="U33" s="74"/>
      <c r="V33" s="554"/>
      <c r="W33" s="554">
        <v>0</v>
      </c>
      <c r="X33" s="554"/>
      <c r="Y33" s="74"/>
      <c r="Z33" s="74"/>
      <c r="AA33" s="554"/>
      <c r="AB33" s="554">
        <v>-22185</v>
      </c>
      <c r="AC33" s="554"/>
      <c r="AD33" s="74"/>
      <c r="AE33" s="74"/>
      <c r="AF33" s="554"/>
      <c r="AG33" s="554">
        <v>0</v>
      </c>
      <c r="AH33" s="554"/>
      <c r="AI33" s="74"/>
      <c r="AJ33" s="74"/>
      <c r="AK33" s="554"/>
      <c r="AL33" s="554">
        <v>0</v>
      </c>
      <c r="AM33" s="554"/>
      <c r="AN33" s="74"/>
      <c r="AO33" s="74"/>
      <c r="AP33" s="554"/>
      <c r="AQ33" s="554">
        <v>0</v>
      </c>
      <c r="AR33" s="554"/>
      <c r="AS33" s="74"/>
      <c r="AT33" s="74"/>
      <c r="AU33" s="554"/>
      <c r="AV33" s="554">
        <v>0</v>
      </c>
      <c r="AW33" s="554"/>
      <c r="AX33" s="74"/>
      <c r="AY33" s="74"/>
      <c r="AZ33" s="554"/>
      <c r="BA33" s="554">
        <v>0</v>
      </c>
      <c r="BB33" s="491"/>
      <c r="BC33" s="74"/>
      <c r="BD33" s="74"/>
      <c r="BE33" s="491"/>
      <c r="BF33" s="554">
        <v>0</v>
      </c>
      <c r="BG33" s="554"/>
      <c r="BH33" s="74"/>
      <c r="BI33" s="74"/>
      <c r="BJ33" s="554"/>
      <c r="BK33" s="554">
        <v>0</v>
      </c>
      <c r="BL33" s="554"/>
      <c r="BM33" s="74"/>
      <c r="BN33" s="74"/>
      <c r="BO33" s="554"/>
      <c r="BP33" s="554">
        <v>-510</v>
      </c>
      <c r="BQ33" s="554"/>
      <c r="BR33" s="74"/>
      <c r="BS33" s="74"/>
      <c r="BT33" s="554"/>
      <c r="BU33" s="554">
        <f>SUM(M33:BP33)</f>
        <v>-22695</v>
      </c>
      <c r="BV33" s="554"/>
      <c r="BW33" s="74"/>
      <c r="BX33" s="74"/>
      <c r="BY33" s="554"/>
      <c r="BZ33" s="554">
        <v>0</v>
      </c>
      <c r="CA33" s="554"/>
      <c r="CB33" s="74"/>
      <c r="CC33" s="74"/>
      <c r="CD33" s="554"/>
      <c r="CE33" s="554">
        <v>0</v>
      </c>
      <c r="CF33" s="554"/>
      <c r="CG33" s="74"/>
      <c r="CH33" s="74"/>
      <c r="CI33" s="554"/>
      <c r="CJ33" s="554">
        <v>0</v>
      </c>
      <c r="CK33" s="554"/>
      <c r="CL33" s="74"/>
      <c r="CM33" s="74"/>
      <c r="CN33" s="554"/>
      <c r="CO33" s="554">
        <v>0</v>
      </c>
      <c r="CP33" s="554"/>
      <c r="CQ33" s="74"/>
      <c r="CR33" s="74"/>
      <c r="CS33" s="554"/>
      <c r="CT33" s="554">
        <v>-98</v>
      </c>
      <c r="CU33" s="554"/>
      <c r="CV33" s="74"/>
      <c r="CW33" s="74"/>
      <c r="CX33" s="554"/>
      <c r="CY33" s="554">
        <v>0</v>
      </c>
      <c r="CZ33" s="554"/>
      <c r="DA33" s="74"/>
      <c r="DB33" s="74"/>
      <c r="DC33" s="554"/>
      <c r="DD33" s="554">
        <v>-372528</v>
      </c>
      <c r="DE33" s="554"/>
      <c r="DF33" s="74"/>
      <c r="DG33" s="74"/>
      <c r="DH33" s="554"/>
      <c r="DI33" s="554">
        <v>0</v>
      </c>
      <c r="DJ33" s="554"/>
      <c r="DK33" s="74"/>
      <c r="DL33" s="74"/>
      <c r="DM33" s="554"/>
      <c r="DN33" s="554">
        <v>0</v>
      </c>
      <c r="DO33" s="491"/>
      <c r="DP33" s="74"/>
      <c r="DQ33" s="74"/>
      <c r="DR33" s="491"/>
      <c r="DS33" s="554">
        <v>0</v>
      </c>
      <c r="DT33" s="554"/>
      <c r="DU33" s="74"/>
      <c r="DV33" s="74"/>
      <c r="DW33" s="554"/>
      <c r="DX33" s="554">
        <v>0</v>
      </c>
      <c r="DY33" s="554"/>
      <c r="DZ33" s="74"/>
      <c r="EA33" s="54"/>
      <c r="EB33" s="389"/>
    </row>
    <row r="34" spans="1:133" hidden="1" x14ac:dyDescent="0.3">
      <c r="A34" s="388"/>
      <c r="B34" s="388"/>
      <c r="C34" s="388"/>
      <c r="D34" s="555" t="s">
        <v>526</v>
      </c>
      <c r="E34" s="165"/>
      <c r="F34" s="404"/>
      <c r="G34" s="427"/>
      <c r="H34" s="547">
        <v>0</v>
      </c>
      <c r="I34" s="548"/>
      <c r="J34" s="291"/>
      <c r="K34" s="290"/>
      <c r="L34" s="427"/>
      <c r="M34" s="547">
        <v>0</v>
      </c>
      <c r="N34" s="548"/>
      <c r="O34" s="291"/>
      <c r="P34" s="290"/>
      <c r="Q34" s="549"/>
      <c r="R34" s="547">
        <v>0</v>
      </c>
      <c r="S34" s="548"/>
      <c r="T34" s="291"/>
      <c r="U34" s="290"/>
      <c r="V34" s="549"/>
      <c r="W34" s="547">
        <v>0</v>
      </c>
      <c r="X34" s="548"/>
      <c r="Y34" s="291"/>
      <c r="Z34" s="290"/>
      <c r="AA34" s="549"/>
      <c r="AB34" s="547">
        <v>0</v>
      </c>
      <c r="AC34" s="548"/>
      <c r="AD34" s="291"/>
      <c r="AE34" s="290"/>
      <c r="AF34" s="549"/>
      <c r="AG34" s="547">
        <v>0</v>
      </c>
      <c r="AH34" s="548"/>
      <c r="AI34" s="291"/>
      <c r="AJ34" s="290"/>
      <c r="AK34" s="549"/>
      <c r="AL34" s="547">
        <v>0</v>
      </c>
      <c r="AM34" s="548"/>
      <c r="AN34" s="291"/>
      <c r="AO34" s="290"/>
      <c r="AP34" s="549"/>
      <c r="AQ34" s="547">
        <v>0</v>
      </c>
      <c r="AR34" s="548"/>
      <c r="AS34" s="291"/>
      <c r="AT34" s="290"/>
      <c r="AU34" s="549"/>
      <c r="AV34" s="547">
        <v>0</v>
      </c>
      <c r="AW34" s="548"/>
      <c r="AX34" s="291"/>
      <c r="AY34" s="290"/>
      <c r="AZ34" s="549"/>
      <c r="BA34" s="547">
        <v>0</v>
      </c>
      <c r="BB34" s="548"/>
      <c r="BC34" s="291"/>
      <c r="BD34" s="290"/>
      <c r="BE34" s="549"/>
      <c r="BF34" s="547">
        <v>0</v>
      </c>
      <c r="BG34" s="548"/>
      <c r="BH34" s="291"/>
      <c r="BI34" s="290"/>
      <c r="BJ34" s="549"/>
      <c r="BK34" s="547">
        <v>0</v>
      </c>
      <c r="BL34" s="548"/>
      <c r="BM34" s="291"/>
      <c r="BN34" s="290"/>
      <c r="BO34" s="549"/>
      <c r="BP34" s="547">
        <v>0</v>
      </c>
      <c r="BQ34" s="548"/>
      <c r="BR34" s="432"/>
      <c r="BS34" s="431"/>
      <c r="BT34" s="427"/>
      <c r="BU34" s="547">
        <f>SUM(M34:BP34)</f>
        <v>0</v>
      </c>
      <c r="BV34" s="548"/>
      <c r="BW34" s="432"/>
      <c r="BX34" s="290"/>
      <c r="BY34" s="427"/>
      <c r="BZ34" s="547">
        <v>0</v>
      </c>
      <c r="CA34" s="548"/>
      <c r="CB34" s="291"/>
      <c r="CC34" s="290"/>
      <c r="CD34" s="549"/>
      <c r="CE34" s="547">
        <v>0</v>
      </c>
      <c r="CF34" s="548"/>
      <c r="CG34" s="291"/>
      <c r="CH34" s="290"/>
      <c r="CI34" s="549"/>
      <c r="CJ34" s="547">
        <v>0</v>
      </c>
      <c r="CK34" s="548"/>
      <c r="CL34" s="291"/>
      <c r="CM34" s="290"/>
      <c r="CN34" s="549"/>
      <c r="CO34" s="547">
        <v>0</v>
      </c>
      <c r="CP34" s="548"/>
      <c r="CQ34" s="291"/>
      <c r="CR34" s="290"/>
      <c r="CS34" s="549"/>
      <c r="CT34" s="547">
        <v>0</v>
      </c>
      <c r="CU34" s="548"/>
      <c r="CV34" s="291"/>
      <c r="CW34" s="290"/>
      <c r="CX34" s="549"/>
      <c r="CY34" s="547">
        <v>0</v>
      </c>
      <c r="CZ34" s="548"/>
      <c r="DA34" s="291"/>
      <c r="DB34" s="290"/>
      <c r="DC34" s="549"/>
      <c r="DD34" s="547">
        <v>0</v>
      </c>
      <c r="DE34" s="548"/>
      <c r="DF34" s="291"/>
      <c r="DG34" s="290"/>
      <c r="DH34" s="549"/>
      <c r="DI34" s="547">
        <v>0</v>
      </c>
      <c r="DJ34" s="548"/>
      <c r="DK34" s="291"/>
      <c r="DL34" s="290"/>
      <c r="DM34" s="549"/>
      <c r="DN34" s="547">
        <v>0</v>
      </c>
      <c r="DO34" s="548"/>
      <c r="DP34" s="291"/>
      <c r="DQ34" s="290"/>
      <c r="DR34" s="549"/>
      <c r="DS34" s="547">
        <v>0</v>
      </c>
      <c r="DT34" s="548"/>
      <c r="DU34" s="291"/>
      <c r="DV34" s="290"/>
      <c r="DW34" s="549"/>
      <c r="DX34" s="547">
        <v>0</v>
      </c>
      <c r="DY34" s="548"/>
      <c r="DZ34" s="291"/>
      <c r="EA34" s="470"/>
      <c r="EB34" s="388"/>
      <c r="EC34" s="411"/>
    </row>
    <row r="35" spans="1:133" x14ac:dyDescent="0.3">
      <c r="A35" s="388"/>
      <c r="B35" s="388"/>
      <c r="C35" s="388"/>
      <c r="D35" s="398"/>
      <c r="E35" s="165"/>
      <c r="F35" s="404"/>
      <c r="G35" s="388"/>
      <c r="H35" s="291"/>
      <c r="I35" s="291"/>
      <c r="J35" s="291"/>
      <c r="K35" s="290"/>
      <c r="L35" s="291"/>
      <c r="M35" s="291"/>
      <c r="N35" s="291"/>
      <c r="O35" s="291"/>
      <c r="P35" s="290"/>
      <c r="Q35" s="291"/>
      <c r="R35" s="291"/>
      <c r="S35" s="291"/>
      <c r="T35" s="291"/>
      <c r="U35" s="290"/>
      <c r="V35" s="291"/>
      <c r="W35" s="291"/>
      <c r="X35" s="291"/>
      <c r="Y35" s="291"/>
      <c r="Z35" s="290"/>
      <c r="AA35" s="291"/>
      <c r="AB35" s="291"/>
      <c r="AC35" s="291"/>
      <c r="AD35" s="291"/>
      <c r="AE35" s="290"/>
      <c r="AF35" s="291"/>
      <c r="AG35" s="291"/>
      <c r="AH35" s="291"/>
      <c r="AI35" s="291"/>
      <c r="AJ35" s="290"/>
      <c r="AK35" s="291"/>
      <c r="AL35" s="291"/>
      <c r="AM35" s="291"/>
      <c r="AN35" s="291"/>
      <c r="AO35" s="290"/>
      <c r="AP35" s="291"/>
      <c r="AQ35" s="291"/>
      <c r="AR35" s="291"/>
      <c r="AS35" s="291"/>
      <c r="AT35" s="290"/>
      <c r="AU35" s="291"/>
      <c r="AV35" s="291"/>
      <c r="AW35" s="540"/>
      <c r="AX35" s="291"/>
      <c r="AY35" s="290"/>
      <c r="AZ35" s="291"/>
      <c r="BA35" s="291"/>
      <c r="BB35" s="291"/>
      <c r="BC35" s="291"/>
      <c r="BD35" s="290"/>
      <c r="BE35" s="291"/>
      <c r="BF35" s="291"/>
      <c r="BG35" s="291"/>
      <c r="BH35" s="291"/>
      <c r="BI35" s="290"/>
      <c r="BJ35" s="291"/>
      <c r="BK35" s="291"/>
      <c r="BL35" s="291"/>
      <c r="BM35" s="291"/>
      <c r="BN35" s="290"/>
      <c r="BO35" s="540"/>
      <c r="BP35" s="291"/>
      <c r="BQ35" s="540"/>
      <c r="BR35" s="291"/>
      <c r="BS35" s="290"/>
      <c r="BT35" s="291"/>
      <c r="BU35" s="291"/>
      <c r="BV35" s="291"/>
      <c r="BW35" s="291"/>
      <c r="BX35" s="290"/>
      <c r="BY35" s="291"/>
      <c r="BZ35" s="291"/>
      <c r="CA35" s="291"/>
      <c r="CB35" s="291"/>
      <c r="CC35" s="290"/>
      <c r="CD35" s="291"/>
      <c r="CE35" s="291"/>
      <c r="CF35" s="291"/>
      <c r="CG35" s="291"/>
      <c r="CH35" s="290"/>
      <c r="CI35" s="291"/>
      <c r="CJ35" s="291"/>
      <c r="CK35" s="291"/>
      <c r="CL35" s="291"/>
      <c r="CM35" s="290"/>
      <c r="CN35" s="291"/>
      <c r="CO35" s="291"/>
      <c r="CP35" s="291"/>
      <c r="CQ35" s="291"/>
      <c r="CR35" s="290"/>
      <c r="CS35" s="291"/>
      <c r="CT35" s="291"/>
      <c r="CU35" s="291"/>
      <c r="CV35" s="291"/>
      <c r="CW35" s="290"/>
      <c r="CX35" s="291"/>
      <c r="CY35" s="291"/>
      <c r="CZ35" s="291"/>
      <c r="DA35" s="291"/>
      <c r="DB35" s="290"/>
      <c r="DC35" s="291"/>
      <c r="DD35" s="291"/>
      <c r="DE35" s="291"/>
      <c r="DF35" s="291"/>
      <c r="DG35" s="290"/>
      <c r="DH35" s="291"/>
      <c r="DI35" s="291"/>
      <c r="DJ35" s="540"/>
      <c r="DK35" s="291"/>
      <c r="DL35" s="290"/>
      <c r="DM35" s="291"/>
      <c r="DN35" s="291"/>
      <c r="DO35" s="291"/>
      <c r="DP35" s="291"/>
      <c r="DQ35" s="290"/>
      <c r="DR35" s="291"/>
      <c r="DS35" s="291"/>
      <c r="DT35" s="291"/>
      <c r="DU35" s="291"/>
      <c r="DV35" s="290"/>
      <c r="DW35" s="291"/>
      <c r="DX35" s="291"/>
      <c r="DY35" s="291"/>
      <c r="DZ35" s="291"/>
      <c r="EA35" s="543"/>
      <c r="EB35" s="388"/>
      <c r="EC35" s="411"/>
    </row>
    <row r="36" spans="1:133" x14ac:dyDescent="0.3">
      <c r="A36" s="388"/>
      <c r="B36" s="388"/>
      <c r="C36" s="388"/>
      <c r="D36" s="398"/>
      <c r="E36" s="165"/>
      <c r="F36" s="404"/>
      <c r="G36" s="388"/>
      <c r="H36" s="432"/>
      <c r="I36" s="432"/>
      <c r="J36" s="432"/>
      <c r="K36" s="431"/>
      <c r="L36" s="432"/>
      <c r="M36" s="432"/>
      <c r="N36" s="432"/>
      <c r="O36" s="432"/>
      <c r="P36" s="431"/>
      <c r="Q36" s="432"/>
      <c r="R36" s="432"/>
      <c r="S36" s="432"/>
      <c r="T36" s="432"/>
      <c r="U36" s="431"/>
      <c r="V36" s="432"/>
      <c r="W36" s="432"/>
      <c r="X36" s="432"/>
      <c r="Y36" s="432"/>
      <c r="Z36" s="431"/>
      <c r="AA36" s="432"/>
      <c r="AB36" s="432"/>
      <c r="AC36" s="432"/>
      <c r="AD36" s="432"/>
      <c r="AE36" s="431"/>
      <c r="AF36" s="432"/>
      <c r="AG36" s="432"/>
      <c r="AH36" s="432"/>
      <c r="AI36" s="432"/>
      <c r="AJ36" s="431"/>
      <c r="AK36" s="432"/>
      <c r="AL36" s="432"/>
      <c r="AM36" s="432"/>
      <c r="AN36" s="432"/>
      <c r="AO36" s="431"/>
      <c r="AP36" s="432"/>
      <c r="AQ36" s="432"/>
      <c r="AR36" s="432"/>
      <c r="AS36" s="432"/>
      <c r="AT36" s="431"/>
      <c r="AU36" s="432"/>
      <c r="AV36" s="432"/>
      <c r="AW36" s="432"/>
      <c r="AX36" s="432"/>
      <c r="AY36" s="431"/>
      <c r="AZ36" s="432"/>
      <c r="BA36" s="432"/>
      <c r="BB36" s="432"/>
      <c r="BC36" s="432"/>
      <c r="BD36" s="431"/>
      <c r="BE36" s="432"/>
      <c r="BF36" s="432"/>
      <c r="BG36" s="432"/>
      <c r="BH36" s="432"/>
      <c r="BI36" s="431"/>
      <c r="BJ36" s="432"/>
      <c r="BK36" s="432"/>
      <c r="BL36" s="432"/>
      <c r="BM36" s="432"/>
      <c r="BN36" s="431"/>
      <c r="BO36" s="432"/>
      <c r="BP36" s="432"/>
      <c r="BQ36" s="432"/>
      <c r="BR36" s="432"/>
      <c r="BS36" s="431"/>
      <c r="BT36" s="432"/>
      <c r="BU36" s="432"/>
      <c r="BV36" s="432"/>
      <c r="BW36" s="432"/>
      <c r="BX36" s="431"/>
      <c r="BY36" s="432"/>
      <c r="BZ36" s="432"/>
      <c r="CA36" s="432"/>
      <c r="CB36" s="432"/>
      <c r="CC36" s="431"/>
      <c r="CD36" s="432"/>
      <c r="CE36" s="432"/>
      <c r="CF36" s="432"/>
      <c r="CG36" s="432"/>
      <c r="CH36" s="431"/>
      <c r="CI36" s="432"/>
      <c r="CJ36" s="432"/>
      <c r="CK36" s="432"/>
      <c r="CL36" s="432"/>
      <c r="CM36" s="431"/>
      <c r="CN36" s="432"/>
      <c r="CO36" s="432"/>
      <c r="CP36" s="432"/>
      <c r="CQ36" s="432"/>
      <c r="CR36" s="431"/>
      <c r="CS36" s="432"/>
      <c r="CT36" s="432"/>
      <c r="CU36" s="432"/>
      <c r="CV36" s="432"/>
      <c r="CW36" s="431"/>
      <c r="CX36" s="432"/>
      <c r="CY36" s="432"/>
      <c r="CZ36" s="432"/>
      <c r="DA36" s="432"/>
      <c r="DB36" s="431"/>
      <c r="DC36" s="432"/>
      <c r="DD36" s="432"/>
      <c r="DE36" s="432"/>
      <c r="DF36" s="432"/>
      <c r="DG36" s="431"/>
      <c r="DH36" s="432"/>
      <c r="DI36" s="432"/>
      <c r="DJ36" s="432"/>
      <c r="DK36" s="432"/>
      <c r="DL36" s="431"/>
      <c r="DM36" s="432"/>
      <c r="DN36" s="432"/>
      <c r="DO36" s="432"/>
      <c r="DP36" s="432"/>
      <c r="DQ36" s="431"/>
      <c r="DR36" s="432"/>
      <c r="DS36" s="432"/>
      <c r="DT36" s="432"/>
      <c r="DU36" s="432"/>
      <c r="DV36" s="431"/>
      <c r="DW36" s="432"/>
      <c r="DX36" s="432"/>
      <c r="DY36" s="432"/>
      <c r="DZ36" s="432"/>
      <c r="EA36" s="470"/>
      <c r="EB36" s="388"/>
      <c r="EC36" s="411"/>
    </row>
    <row r="37" spans="1:133" s="411" customFormat="1" hidden="1" x14ac:dyDescent="0.3">
      <c r="A37" s="389"/>
      <c r="B37" s="389"/>
      <c r="C37" s="389"/>
      <c r="D37" s="405"/>
      <c r="E37" s="532"/>
      <c r="F37" s="407"/>
      <c r="G37" s="389"/>
      <c r="H37" s="53"/>
      <c r="I37" s="53"/>
      <c r="J37" s="53"/>
      <c r="K37" s="327"/>
      <c r="L37" s="53"/>
      <c r="M37" s="53"/>
      <c r="N37" s="53"/>
      <c r="O37" s="53"/>
      <c r="P37" s="327"/>
      <c r="Q37" s="53"/>
      <c r="R37" s="53"/>
      <c r="S37" s="53"/>
      <c r="T37" s="53"/>
      <c r="U37" s="327"/>
      <c r="V37" s="53"/>
      <c r="W37" s="53"/>
      <c r="X37" s="53"/>
      <c r="Y37" s="53"/>
      <c r="Z37" s="327"/>
      <c r="AA37" s="53"/>
      <c r="AB37" s="53"/>
      <c r="AC37" s="53"/>
      <c r="AD37" s="53"/>
      <c r="AE37" s="327"/>
      <c r="AF37" s="53"/>
      <c r="AG37" s="53"/>
      <c r="AH37" s="53"/>
      <c r="AI37" s="53"/>
      <c r="AJ37" s="327"/>
      <c r="AK37" s="53"/>
      <c r="AL37" s="53"/>
      <c r="AM37" s="53"/>
      <c r="AN37" s="53"/>
      <c r="AO37" s="327"/>
      <c r="AP37" s="53"/>
      <c r="AQ37" s="53"/>
      <c r="AR37" s="53"/>
      <c r="AS37" s="53"/>
      <c r="AT37" s="327"/>
      <c r="AU37" s="53"/>
      <c r="AV37" s="53"/>
      <c r="AW37" s="53"/>
      <c r="AX37" s="53"/>
      <c r="AY37" s="327"/>
      <c r="AZ37" s="53"/>
      <c r="BA37" s="53"/>
      <c r="BB37" s="53"/>
      <c r="BC37" s="53"/>
      <c r="BD37" s="327"/>
      <c r="BE37" s="53"/>
      <c r="BF37" s="53"/>
      <c r="BG37" s="53"/>
      <c r="BH37" s="53"/>
      <c r="BI37" s="327"/>
      <c r="BJ37" s="53"/>
      <c r="BK37" s="53"/>
      <c r="BL37" s="53"/>
      <c r="BM37" s="53"/>
      <c r="BN37" s="327"/>
      <c r="BO37" s="53"/>
      <c r="BP37" s="53"/>
      <c r="BQ37" s="53"/>
      <c r="BR37" s="53"/>
      <c r="BS37" s="327"/>
      <c r="BT37" s="53"/>
      <c r="BU37" s="53"/>
      <c r="BV37" s="53"/>
      <c r="BW37" s="53"/>
      <c r="BX37" s="327"/>
      <c r="BY37" s="53"/>
      <c r="BZ37" s="53"/>
      <c r="CA37" s="53"/>
      <c r="CB37" s="53"/>
      <c r="CC37" s="327"/>
      <c r="CD37" s="53"/>
      <c r="CE37" s="53"/>
      <c r="CF37" s="53"/>
      <c r="CG37" s="53"/>
      <c r="CH37" s="327"/>
      <c r="CI37" s="53"/>
      <c r="CJ37" s="53"/>
      <c r="CK37" s="53"/>
      <c r="CL37" s="53"/>
      <c r="CM37" s="327"/>
      <c r="CN37" s="53"/>
      <c r="CO37" s="53"/>
      <c r="CP37" s="53"/>
      <c r="CQ37" s="53"/>
      <c r="CR37" s="327"/>
      <c r="CS37" s="53"/>
      <c r="CT37" s="53"/>
      <c r="CU37" s="53"/>
      <c r="CV37" s="53"/>
      <c r="CW37" s="327"/>
      <c r="CX37" s="53"/>
      <c r="CY37" s="53"/>
      <c r="CZ37" s="53"/>
      <c r="DA37" s="53"/>
      <c r="DB37" s="327"/>
      <c r="DC37" s="53"/>
      <c r="DD37" s="53"/>
      <c r="DE37" s="53"/>
      <c r="DF37" s="53"/>
      <c r="DG37" s="327"/>
      <c r="DH37" s="53"/>
      <c r="DI37" s="53"/>
      <c r="DJ37" s="53"/>
      <c r="DK37" s="53"/>
      <c r="DL37" s="327"/>
      <c r="DM37" s="53"/>
      <c r="DN37" s="53"/>
      <c r="DO37" s="53"/>
      <c r="DP37" s="53"/>
      <c r="DQ37" s="327"/>
      <c r="DR37" s="53"/>
      <c r="DS37" s="53"/>
      <c r="DT37" s="53"/>
      <c r="DU37" s="53"/>
      <c r="DV37" s="327"/>
      <c r="DW37" s="53"/>
      <c r="DX37" s="53"/>
      <c r="DY37" s="53"/>
      <c r="DZ37" s="53"/>
      <c r="EA37" s="54"/>
      <c r="EB37" s="389"/>
    </row>
    <row r="38" spans="1:133" s="411" customFormat="1" x14ac:dyDescent="0.3">
      <c r="A38" s="389"/>
      <c r="B38" s="389"/>
      <c r="C38" s="389"/>
      <c r="D38" s="405" t="s">
        <v>529</v>
      </c>
      <c r="E38" s="532"/>
      <c r="F38" s="552"/>
      <c r="G38" s="553"/>
      <c r="H38" s="557">
        <v>0</v>
      </c>
      <c r="I38" s="557"/>
      <c r="J38" s="52"/>
      <c r="K38" s="52"/>
      <c r="L38" s="557"/>
      <c r="M38" s="557">
        <f>-[53]original!$F$82</f>
        <v>-34158767.953769997</v>
      </c>
      <c r="N38" s="557"/>
      <c r="O38" s="52"/>
      <c r="P38" s="52"/>
      <c r="Q38" s="557"/>
      <c r="R38" s="557">
        <f>-[54]original!$G$82</f>
        <v>665778.1075699823</v>
      </c>
      <c r="S38" s="557"/>
      <c r="T38" s="52"/>
      <c r="U38" s="52"/>
      <c r="V38" s="557"/>
      <c r="W38" s="557">
        <f>-[55]original!$H$82</f>
        <v>-3529360.3766400218</v>
      </c>
      <c r="X38" s="557"/>
      <c r="Y38" s="52"/>
      <c r="Z38" s="52"/>
      <c r="AA38" s="557"/>
      <c r="AB38" s="557">
        <f>-[56]original!$I$82</f>
        <v>39129472.039829999</v>
      </c>
      <c r="AC38" s="557"/>
      <c r="AD38" s="52"/>
      <c r="AE38" s="52"/>
      <c r="AF38" s="557"/>
      <c r="AG38" s="557">
        <f>-[57]original!$J$82</f>
        <v>-36409361.543499991</v>
      </c>
      <c r="AH38" s="557"/>
      <c r="AI38" s="52"/>
      <c r="AJ38" s="52"/>
      <c r="AK38" s="557"/>
      <c r="AL38" s="557">
        <f>-[58]original!$K$82</f>
        <v>10350561.970830038</v>
      </c>
      <c r="AM38" s="557"/>
      <c r="AN38" s="52"/>
      <c r="AO38" s="52"/>
      <c r="AP38" s="557"/>
      <c r="AQ38" s="557">
        <f>-[59]original!$L$82</f>
        <v>-13234789.152860001</v>
      </c>
      <c r="AR38" s="557"/>
      <c r="AS38" s="52"/>
      <c r="AT38" s="52"/>
      <c r="AU38" s="557"/>
      <c r="AV38" s="557">
        <f>-[60]original!$M$82</f>
        <v>-507485.77358999848</v>
      </c>
      <c r="AW38" s="557"/>
      <c r="AX38" s="52"/>
      <c r="AY38" s="52"/>
      <c r="AZ38" s="557"/>
      <c r="BA38" s="557">
        <f>-[61]original!$N$82</f>
        <v>5933754.2305000126</v>
      </c>
      <c r="BB38" s="558"/>
      <c r="BC38" s="52"/>
      <c r="BD38" s="52"/>
      <c r="BE38" s="558"/>
      <c r="BF38" s="557">
        <f>-[62]original!$O$82</f>
        <v>-33766452.223689988</v>
      </c>
      <c r="BG38" s="557"/>
      <c r="BH38" s="52"/>
      <c r="BI38" s="52"/>
      <c r="BJ38" s="557"/>
      <c r="BK38" s="557">
        <f>-[62]original!$P$82</f>
        <v>-3541595.2070199698</v>
      </c>
      <c r="BL38" s="557"/>
      <c r="BM38" s="52"/>
      <c r="BN38" s="52"/>
      <c r="BO38" s="557"/>
      <c r="BP38" s="557">
        <f>-[62]original!$Q$82</f>
        <v>51076041.623150021</v>
      </c>
      <c r="BQ38" s="557"/>
      <c r="BR38" s="52"/>
      <c r="BS38" s="52"/>
      <c r="BT38" s="557"/>
      <c r="BU38" s="557">
        <f>SUM(M38:BP38)</f>
        <v>-17992204.259189919</v>
      </c>
      <c r="BV38" s="557"/>
      <c r="BW38" s="52"/>
      <c r="BX38" s="52"/>
      <c r="BY38" s="557"/>
      <c r="BZ38" s="557">
        <f>-[63]original!$W$82</f>
        <v>-9617047.0857300311</v>
      </c>
      <c r="CA38" s="557"/>
      <c r="CB38" s="52"/>
      <c r="CC38" s="52"/>
      <c r="CD38" s="557"/>
      <c r="CE38" s="557">
        <f>-[63]original!$X$82</f>
        <v>1658010.930979982</v>
      </c>
      <c r="CF38" s="557"/>
      <c r="CG38" s="52"/>
      <c r="CH38" s="52"/>
      <c r="CI38" s="557"/>
      <c r="CJ38" s="557">
        <f>-[63]original!$Y$82</f>
        <v>13980252.202720001</v>
      </c>
      <c r="CK38" s="557"/>
      <c r="CL38" s="52"/>
      <c r="CM38" s="52"/>
      <c r="CN38" s="557"/>
      <c r="CO38" s="557">
        <f>-[63]original!$Z$82</f>
        <v>-8777405.5292999893</v>
      </c>
      <c r="CP38" s="557"/>
      <c r="CQ38" s="52"/>
      <c r="CR38" s="52"/>
      <c r="CS38" s="557"/>
      <c r="CT38" s="557">
        <f>-[63]original!$AA$82</f>
        <v>-9967884.6452499926</v>
      </c>
      <c r="CU38" s="557"/>
      <c r="CV38" s="52"/>
      <c r="CW38" s="52"/>
      <c r="CX38" s="557"/>
      <c r="CY38" s="557">
        <f>-[63]original!$AB$82</f>
        <v>-4315544.2743200064</v>
      </c>
      <c r="CZ38" s="557"/>
      <c r="DA38" s="52"/>
      <c r="DB38" s="52"/>
      <c r="DC38" s="557"/>
      <c r="DD38" s="557">
        <f>-[63]original!$AC$82</f>
        <v>-395955.53492997866</v>
      </c>
      <c r="DE38" s="557"/>
      <c r="DF38" s="52"/>
      <c r="DG38" s="52"/>
      <c r="DH38" s="557"/>
      <c r="DI38" s="557">
        <f>-[63]original!$AD$82</f>
        <v>-18897629.034100011</v>
      </c>
      <c r="DJ38" s="557"/>
      <c r="DK38" s="52"/>
      <c r="DL38" s="52"/>
      <c r="DM38" s="557"/>
      <c r="DN38" s="557">
        <f>-[63]original!$AE$82</f>
        <v>-1291051.2250600038</v>
      </c>
      <c r="DO38" s="558"/>
      <c r="DP38" s="52"/>
      <c r="DQ38" s="52"/>
      <c r="DR38" s="558"/>
      <c r="DS38" s="557">
        <f>-[64]original!$O$82</f>
        <v>-2746121.6662400216</v>
      </c>
      <c r="DT38" s="557"/>
      <c r="DU38" s="52"/>
      <c r="DV38" s="52"/>
      <c r="DW38" s="557"/>
      <c r="DX38" s="557">
        <f>-[65]original!$P$82</f>
        <v>-5785998.0916399956</v>
      </c>
      <c r="DY38" s="557"/>
      <c r="DZ38" s="52"/>
      <c r="EA38" s="54"/>
      <c r="EB38" s="389"/>
      <c r="EC38" s="559"/>
    </row>
    <row r="39" spans="1:133" x14ac:dyDescent="0.3">
      <c r="A39" s="388"/>
      <c r="B39" s="388"/>
      <c r="C39" s="388"/>
      <c r="D39" s="398"/>
      <c r="E39" s="221"/>
      <c r="F39" s="404"/>
      <c r="G39" s="388"/>
      <c r="H39" s="291"/>
      <c r="I39" s="291"/>
      <c r="J39" s="291"/>
      <c r="K39" s="290"/>
      <c r="L39" s="291"/>
      <c r="M39" s="291"/>
      <c r="N39" s="291"/>
      <c r="O39" s="291"/>
      <c r="P39" s="290"/>
      <c r="Q39" s="291"/>
      <c r="R39" s="291"/>
      <c r="S39" s="291"/>
      <c r="T39" s="291"/>
      <c r="U39" s="290"/>
      <c r="V39" s="291"/>
      <c r="W39" s="291"/>
      <c r="X39" s="291"/>
      <c r="Y39" s="291"/>
      <c r="Z39" s="290"/>
      <c r="AA39" s="291"/>
      <c r="AB39" s="291"/>
      <c r="AC39" s="291"/>
      <c r="AD39" s="291"/>
      <c r="AE39" s="290"/>
      <c r="AF39" s="291"/>
      <c r="AG39" s="291"/>
      <c r="AH39" s="291"/>
      <c r="AI39" s="291"/>
      <c r="AJ39" s="290"/>
      <c r="AK39" s="291"/>
      <c r="AL39" s="291"/>
      <c r="AM39" s="291"/>
      <c r="AN39" s="291"/>
      <c r="AO39" s="290"/>
      <c r="AP39" s="291"/>
      <c r="AQ39" s="291"/>
      <c r="AR39" s="291"/>
      <c r="AS39" s="291"/>
      <c r="AT39" s="290"/>
      <c r="AU39" s="291"/>
      <c r="AV39" s="291"/>
      <c r="AW39" s="291"/>
      <c r="AX39" s="291"/>
      <c r="AY39" s="290"/>
      <c r="AZ39" s="291"/>
      <c r="BA39" s="291"/>
      <c r="BB39" s="291"/>
      <c r="BC39" s="291"/>
      <c r="BD39" s="290"/>
      <c r="BE39" s="291"/>
      <c r="BF39" s="291"/>
      <c r="BG39" s="291"/>
      <c r="BH39" s="291"/>
      <c r="BI39" s="290"/>
      <c r="BJ39" s="291"/>
      <c r="BK39" s="291"/>
      <c r="BL39" s="291"/>
      <c r="BM39" s="291"/>
      <c r="BN39" s="290"/>
      <c r="BO39" s="291"/>
      <c r="BP39" s="291"/>
      <c r="BQ39" s="291"/>
      <c r="BR39" s="291"/>
      <c r="BS39" s="290"/>
      <c r="BT39" s="291"/>
      <c r="BU39" s="291"/>
      <c r="BV39" s="291"/>
      <c r="BW39" s="291"/>
      <c r="BX39" s="290"/>
      <c r="BY39" s="291"/>
      <c r="BZ39" s="291"/>
      <c r="CA39" s="291"/>
      <c r="CB39" s="291"/>
      <c r="CC39" s="290"/>
      <c r="CD39" s="291"/>
      <c r="CE39" s="291"/>
      <c r="CF39" s="291"/>
      <c r="CG39" s="291"/>
      <c r="CH39" s="290"/>
      <c r="CI39" s="291"/>
      <c r="CJ39" s="291"/>
      <c r="CK39" s="291"/>
      <c r="CL39" s="291"/>
      <c r="CM39" s="290"/>
      <c r="CN39" s="291"/>
      <c r="CO39" s="291"/>
      <c r="CP39" s="291"/>
      <c r="CQ39" s="291"/>
      <c r="CR39" s="290"/>
      <c r="CS39" s="291"/>
      <c r="CT39" s="291"/>
      <c r="CU39" s="291"/>
      <c r="CV39" s="291"/>
      <c r="CW39" s="290"/>
      <c r="CX39" s="291"/>
      <c r="CY39" s="291"/>
      <c r="CZ39" s="291"/>
      <c r="DA39" s="291"/>
      <c r="DB39" s="290"/>
      <c r="DC39" s="291"/>
      <c r="DD39" s="291"/>
      <c r="DE39" s="291"/>
      <c r="DF39" s="291"/>
      <c r="DG39" s="290"/>
      <c r="DH39" s="291"/>
      <c r="DI39" s="291"/>
      <c r="DJ39" s="291"/>
      <c r="DK39" s="291"/>
      <c r="DL39" s="290"/>
      <c r="DM39" s="291"/>
      <c r="DN39" s="291"/>
      <c r="DO39" s="291"/>
      <c r="DP39" s="291"/>
      <c r="DQ39" s="290"/>
      <c r="DR39" s="291"/>
      <c r="DS39" s="291"/>
      <c r="DT39" s="291"/>
      <c r="DU39" s="291"/>
      <c r="DV39" s="290"/>
      <c r="DW39" s="291"/>
      <c r="DX39" s="291"/>
      <c r="DY39" s="291"/>
      <c r="DZ39" s="291"/>
      <c r="EA39" s="543"/>
      <c r="EB39" s="388"/>
      <c r="EC39" s="560"/>
    </row>
    <row r="40" spans="1:133" s="411" customFormat="1" x14ac:dyDescent="0.3">
      <c r="A40" s="389"/>
      <c r="B40" s="389"/>
      <c r="C40" s="389"/>
      <c r="D40" s="561" t="s">
        <v>530</v>
      </c>
      <c r="E40" s="562" t="s">
        <v>86</v>
      </c>
      <c r="F40" s="563"/>
      <c r="G40" s="564"/>
      <c r="H40" s="378">
        <f>+H12+H38+H32+H27+H23</f>
        <v>-52440099.997653</v>
      </c>
      <c r="I40" s="378"/>
      <c r="J40" s="378"/>
      <c r="K40" s="377"/>
      <c r="L40" s="378"/>
      <c r="M40" s="378">
        <f>+M12+M38+M32+M27+M23</f>
        <v>-18499278.953769997</v>
      </c>
      <c r="N40" s="378"/>
      <c r="O40" s="378"/>
      <c r="P40" s="377"/>
      <c r="Q40" s="378"/>
      <c r="R40" s="378">
        <f>+R12+R38+R32+R27+R23</f>
        <v>537410.36356998235</v>
      </c>
      <c r="S40" s="378"/>
      <c r="T40" s="378"/>
      <c r="U40" s="377"/>
      <c r="V40" s="378"/>
      <c r="W40" s="378">
        <f>+W12+W38+W32+W27+W23</f>
        <v>-23974845.376640022</v>
      </c>
      <c r="X40" s="378"/>
      <c r="Y40" s="378"/>
      <c r="Z40" s="377"/>
      <c r="AA40" s="378"/>
      <c r="AB40" s="378">
        <f>+AB12+AB38+AB32+AB27+AB23</f>
        <v>-39272434.960170001</v>
      </c>
      <c r="AC40" s="378"/>
      <c r="AD40" s="378"/>
      <c r="AE40" s="377"/>
      <c r="AF40" s="378"/>
      <c r="AG40" s="378">
        <f>+AG12+AG38+AG32+AG27+AG23</f>
        <v>32418642.456500009</v>
      </c>
      <c r="AH40" s="378"/>
      <c r="AI40" s="378"/>
      <c r="AJ40" s="377"/>
      <c r="AK40" s="378"/>
      <c r="AL40" s="378">
        <f>+AL12+AL38+AL32+AL27+AL23</f>
        <v>-8875713.0291699618</v>
      </c>
      <c r="AM40" s="378"/>
      <c r="AN40" s="378"/>
      <c r="AO40" s="377"/>
      <c r="AP40" s="378"/>
      <c r="AQ40" s="378">
        <f>+AQ12+AQ38+AQ32+AQ27+AQ23</f>
        <v>-36949546.152860001</v>
      </c>
      <c r="AR40" s="378"/>
      <c r="AS40" s="378"/>
      <c r="AT40" s="377"/>
      <c r="AU40" s="378"/>
      <c r="AV40" s="378">
        <f>+AV12+AV38+AV32+AV27+AV23</f>
        <v>-18096631.773589998</v>
      </c>
      <c r="AW40" s="378"/>
      <c r="AX40" s="378"/>
      <c r="AY40" s="377"/>
      <c r="AZ40" s="378"/>
      <c r="BA40" s="378">
        <f>+BA12+BA38+BA32+BA27+BA23</f>
        <v>-17747258.769499987</v>
      </c>
      <c r="BB40" s="378"/>
      <c r="BC40" s="378"/>
      <c r="BD40" s="377"/>
      <c r="BE40" s="378"/>
      <c r="BF40" s="378">
        <f>+BF12+BF23+BF25+BF27+BF32+BF38</f>
        <v>25860728.776310012</v>
      </c>
      <c r="BG40" s="378"/>
      <c r="BH40" s="378"/>
      <c r="BI40" s="377"/>
      <c r="BJ40" s="378"/>
      <c r="BK40" s="378">
        <f>+BK12+BK38+BK32+BK27+BK23</f>
        <v>-16055785.20701997</v>
      </c>
      <c r="BL40" s="378"/>
      <c r="BM40" s="378"/>
      <c r="BN40" s="377"/>
      <c r="BO40" s="378"/>
      <c r="BP40" s="378">
        <f>+BP12+BP38+BP32+BP27+BP23</f>
        <v>29488304.623150021</v>
      </c>
      <c r="BQ40" s="378"/>
      <c r="BR40" s="378"/>
      <c r="BS40" s="377"/>
      <c r="BT40" s="378"/>
      <c r="BU40" s="378">
        <f>+BU12+BU23+BU25+BU27+BU32+BU38</f>
        <v>-91166408.003189921</v>
      </c>
      <c r="BV40" s="378"/>
      <c r="BW40" s="378"/>
      <c r="BX40" s="377"/>
      <c r="BY40" s="378"/>
      <c r="BZ40" s="378">
        <f>+BZ12+BZ38+BZ32+BZ27+BZ23</f>
        <v>12935068.914269969</v>
      </c>
      <c r="CA40" s="378"/>
      <c r="CB40" s="378"/>
      <c r="CC40" s="377"/>
      <c r="CD40" s="378"/>
      <c r="CE40" s="378">
        <f>+CE12+CE38+CE32+CE27+CE23</f>
        <v>6028814.930979982</v>
      </c>
      <c r="CF40" s="378"/>
      <c r="CG40" s="378"/>
      <c r="CH40" s="377"/>
      <c r="CI40" s="378"/>
      <c r="CJ40" s="378">
        <f>+CJ12+CJ38+CJ32+CJ27+CJ23</f>
        <v>-64456252.797279999</v>
      </c>
      <c r="CK40" s="378"/>
      <c r="CL40" s="378"/>
      <c r="CM40" s="377"/>
      <c r="CN40" s="378"/>
      <c r="CO40" s="378">
        <f>+CO12+CO38+CO32+CO27+CO23</f>
        <v>71916201.470700011</v>
      </c>
      <c r="CP40" s="378"/>
      <c r="CQ40" s="378"/>
      <c r="CR40" s="377"/>
      <c r="CS40" s="378"/>
      <c r="CT40" s="378">
        <f>+CT12+CT38+CT32+CT27+CT23</f>
        <v>-5938593.6452499926</v>
      </c>
      <c r="CU40" s="378"/>
      <c r="CV40" s="378"/>
      <c r="CW40" s="377"/>
      <c r="CX40" s="378"/>
      <c r="CY40" s="378">
        <f>+CY12+CY38+CY32+CY27+CY23</f>
        <v>-87185842.274320006</v>
      </c>
      <c r="CZ40" s="378"/>
      <c r="DA40" s="378"/>
      <c r="DB40" s="377"/>
      <c r="DC40" s="378"/>
      <c r="DD40" s="378">
        <f>+DD12+DD38+DD32+DD27+DD23</f>
        <v>4292248.4650700213</v>
      </c>
      <c r="DE40" s="378"/>
      <c r="DF40" s="378"/>
      <c r="DG40" s="377"/>
      <c r="DH40" s="378"/>
      <c r="DI40" s="378">
        <f>+DI12+DI38+DI32+DI27+DI23</f>
        <v>-21698105.034100011</v>
      </c>
      <c r="DJ40" s="378"/>
      <c r="DK40" s="378"/>
      <c r="DL40" s="377"/>
      <c r="DM40" s="378"/>
      <c r="DN40" s="378">
        <f>+DN12+DN38+DN32+DN27+DN23</f>
        <v>-5176181.2250600047</v>
      </c>
      <c r="DO40" s="378"/>
      <c r="DP40" s="378"/>
      <c r="DQ40" s="377"/>
      <c r="DR40" s="378"/>
      <c r="DS40" s="378">
        <f>+DS12+DS23+DS25+DS27+DS32+DS38</f>
        <v>31144738.333759978</v>
      </c>
      <c r="DT40" s="378"/>
      <c r="DU40" s="378"/>
      <c r="DV40" s="377"/>
      <c r="DW40" s="378"/>
      <c r="DX40" s="378">
        <f>+DX12+DX23+DX25+DX27+DX32+DX38</f>
        <v>-28811986.091639996</v>
      </c>
      <c r="DY40" s="378"/>
      <c r="DZ40" s="378"/>
      <c r="EA40" s="54"/>
      <c r="EB40" s="389"/>
      <c r="EC40" s="559"/>
    </row>
    <row r="41" spans="1:133" x14ac:dyDescent="0.3">
      <c r="A41" s="388"/>
      <c r="B41" s="388"/>
      <c r="C41" s="388"/>
      <c r="D41" s="724" t="s">
        <v>42</v>
      </c>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c r="CU41" s="454"/>
      <c r="CV41" s="454"/>
      <c r="CW41" s="454"/>
      <c r="CX41" s="454"/>
      <c r="CY41" s="454"/>
      <c r="CZ41" s="454"/>
      <c r="DA41" s="454"/>
      <c r="DB41" s="454"/>
      <c r="DC41" s="454"/>
      <c r="DD41" s="454"/>
      <c r="DE41" s="454"/>
      <c r="DF41" s="454"/>
      <c r="DG41" s="454"/>
      <c r="DH41" s="454"/>
      <c r="DI41" s="454"/>
      <c r="DJ41" s="454"/>
      <c r="DK41" s="454"/>
      <c r="DL41" s="454"/>
      <c r="DM41" s="454"/>
      <c r="DN41" s="454"/>
      <c r="DO41" s="454"/>
      <c r="DP41" s="454"/>
      <c r="DQ41" s="454"/>
      <c r="DR41" s="454"/>
      <c r="DS41" s="454"/>
      <c r="DT41" s="454"/>
      <c r="DU41" s="454"/>
      <c r="DV41" s="454"/>
      <c r="DW41" s="454"/>
      <c r="DX41" s="454"/>
      <c r="DY41" s="454"/>
      <c r="DZ41" s="454"/>
      <c r="EA41" s="388"/>
    </row>
    <row r="42" spans="1:133" hidden="1" x14ac:dyDescent="0.3">
      <c r="A42" s="388"/>
      <c r="B42" s="388"/>
      <c r="C42" s="388"/>
      <c r="D42" s="565" t="s">
        <v>531</v>
      </c>
      <c r="E42" s="165"/>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c r="DB42" s="388"/>
      <c r="DC42" s="388"/>
      <c r="DD42" s="388"/>
      <c r="DE42" s="388"/>
      <c r="DF42" s="388"/>
      <c r="DG42" s="388"/>
      <c r="DH42" s="388"/>
      <c r="DI42" s="388"/>
      <c r="DJ42" s="388"/>
      <c r="DK42" s="388"/>
      <c r="DL42" s="388"/>
      <c r="DM42" s="388"/>
      <c r="DN42" s="388"/>
      <c r="DO42" s="388"/>
      <c r="DP42" s="388"/>
      <c r="DQ42" s="388"/>
      <c r="DR42" s="388"/>
      <c r="DS42" s="388"/>
      <c r="DT42" s="388"/>
      <c r="DU42" s="388"/>
      <c r="DV42" s="388"/>
      <c r="DW42" s="388"/>
      <c r="DX42" s="388"/>
      <c r="DY42" s="388"/>
      <c r="DZ42" s="388"/>
      <c r="EA42" s="388"/>
    </row>
    <row r="43" spans="1:133" hidden="1" x14ac:dyDescent="0.3">
      <c r="A43" s="388"/>
      <c r="B43" s="388"/>
      <c r="C43" s="388"/>
      <c r="D43" s="565" t="s">
        <v>532</v>
      </c>
      <c r="E43" s="165"/>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c r="DB43" s="388"/>
      <c r="DC43" s="388"/>
      <c r="DD43" s="388"/>
      <c r="DE43" s="388"/>
      <c r="DF43" s="388"/>
      <c r="DG43" s="388"/>
      <c r="DH43" s="388"/>
      <c r="DI43" s="388"/>
      <c r="DJ43" s="388"/>
      <c r="DK43" s="388"/>
      <c r="DL43" s="388"/>
      <c r="DM43" s="388"/>
      <c r="DN43" s="388"/>
      <c r="DO43" s="388"/>
      <c r="DP43" s="388"/>
      <c r="DQ43" s="388"/>
      <c r="DR43" s="388"/>
      <c r="DS43" s="388"/>
      <c r="DT43" s="388"/>
      <c r="DU43" s="388"/>
      <c r="DV43" s="388"/>
      <c r="DW43" s="388"/>
      <c r="DX43" s="388"/>
      <c r="DY43" s="388"/>
      <c r="DZ43" s="388"/>
      <c r="EA43" s="388"/>
    </row>
    <row r="44" spans="1:133" hidden="1" x14ac:dyDescent="0.3">
      <c r="A44" s="388"/>
      <c r="B44" s="388"/>
      <c r="C44" s="388"/>
      <c r="D44" s="565" t="s">
        <v>533</v>
      </c>
      <c r="E44" s="165"/>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c r="DD44" s="388"/>
      <c r="DE44" s="388"/>
      <c r="DF44" s="388"/>
      <c r="DG44" s="388"/>
      <c r="DH44" s="388"/>
      <c r="DI44" s="388"/>
      <c r="DJ44" s="388"/>
      <c r="DK44" s="388"/>
      <c r="DL44" s="388"/>
      <c r="DM44" s="388"/>
      <c r="DN44" s="388"/>
      <c r="DO44" s="388"/>
      <c r="DP44" s="388"/>
      <c r="DQ44" s="388"/>
      <c r="DR44" s="388"/>
      <c r="DS44" s="388"/>
      <c r="DT44" s="388"/>
      <c r="DU44" s="388"/>
      <c r="DV44" s="388"/>
      <c r="DW44" s="388"/>
      <c r="DX44" s="388"/>
      <c r="DY44" s="388"/>
      <c r="DZ44" s="388"/>
      <c r="EA44" s="388"/>
    </row>
    <row r="45" spans="1:133" hidden="1" x14ac:dyDescent="0.3">
      <c r="A45" s="388"/>
      <c r="B45" s="388"/>
      <c r="C45" s="388"/>
      <c r="D45" s="565" t="s">
        <v>534</v>
      </c>
      <c r="E45" s="165"/>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c r="DJ45" s="388"/>
      <c r="DK45" s="388"/>
      <c r="DL45" s="388"/>
      <c r="DM45" s="388"/>
      <c r="DN45" s="388"/>
      <c r="DO45" s="388"/>
      <c r="DP45" s="388"/>
      <c r="DQ45" s="388"/>
      <c r="DR45" s="388"/>
      <c r="DS45" s="388"/>
      <c r="DT45" s="388"/>
      <c r="DU45" s="388"/>
      <c r="DV45" s="388"/>
      <c r="DW45" s="388"/>
      <c r="DX45" s="388"/>
      <c r="DY45" s="388"/>
      <c r="DZ45" s="388"/>
      <c r="EA45" s="388"/>
    </row>
    <row r="46" spans="1:133" x14ac:dyDescent="0.3">
      <c r="D46" s="565" t="s">
        <v>535</v>
      </c>
      <c r="CE46" s="411"/>
    </row>
    <row r="47" spans="1:133" x14ac:dyDescent="0.3">
      <c r="D47" s="565" t="s">
        <v>536</v>
      </c>
      <c r="E47" s="566"/>
      <c r="F47" s="565"/>
      <c r="G47" s="565"/>
    </row>
    <row r="48" spans="1:133" x14ac:dyDescent="0.3">
      <c r="E48" s="566"/>
      <c r="F48" s="565"/>
      <c r="G48" s="565"/>
      <c r="M48" s="567"/>
      <c r="DI48" s="291"/>
      <c r="DJ48" s="291"/>
      <c r="DK48" s="291"/>
      <c r="DL48" s="291"/>
      <c r="DM48" s="291"/>
    </row>
    <row r="49" spans="4:113" x14ac:dyDescent="0.3">
      <c r="E49" s="566"/>
      <c r="F49" s="565"/>
      <c r="G49" s="565"/>
      <c r="DI49" s="38" t="e">
        <f>+#REF!-#REF!</f>
        <v>#REF!</v>
      </c>
    </row>
    <row r="50" spans="4:113" hidden="1" x14ac:dyDescent="0.3"/>
    <row r="51" spans="4:113" hidden="1" x14ac:dyDescent="0.3">
      <c r="CJ51" s="411">
        <f>CJ38+4818384</f>
        <v>18798636.202720001</v>
      </c>
    </row>
    <row r="52" spans="4:113" hidden="1" x14ac:dyDescent="0.3">
      <c r="CE52" s="38">
        <f>CE38-1071906</f>
        <v>586104.93097998202</v>
      </c>
      <c r="CJ52" s="568">
        <f>CJ51/2</f>
        <v>9399318.1013600007</v>
      </c>
    </row>
    <row r="53" spans="4:113" hidden="1" x14ac:dyDescent="0.3">
      <c r="D53" s="569"/>
      <c r="M53" s="38">
        <f>M12-BZ12</f>
        <v>-57646155</v>
      </c>
      <c r="N53" s="38">
        <f>N12-CA12</f>
        <v>0</v>
      </c>
      <c r="O53" s="38">
        <f>O12-CB12</f>
        <v>0</v>
      </c>
      <c r="P53" s="38">
        <f>P12-CC12</f>
        <v>0</v>
      </c>
      <c r="Q53" s="38">
        <f>Q12-CD12</f>
        <v>0</v>
      </c>
      <c r="R53" s="38">
        <f>R12-CE12</f>
        <v>-3183722</v>
      </c>
      <c r="S53" s="38">
        <f>S12-CF12</f>
        <v>0</v>
      </c>
      <c r="T53" s="38">
        <f>T12-CG12</f>
        <v>0</v>
      </c>
      <c r="U53" s="38">
        <f>U12-CH12</f>
        <v>0</v>
      </c>
      <c r="V53" s="38">
        <f>V12-CI12</f>
        <v>0</v>
      </c>
      <c r="W53" s="38">
        <f>W12-CJ12</f>
        <v>57221837</v>
      </c>
      <c r="X53" s="38">
        <f>X12-CK12</f>
        <v>0</v>
      </c>
      <c r="Y53" s="38">
        <f>Y12-CL12</f>
        <v>0</v>
      </c>
      <c r="Z53" s="38">
        <f>Z12-CM12</f>
        <v>0</v>
      </c>
      <c r="AA53" s="38">
        <f>AA12-CN12</f>
        <v>0</v>
      </c>
      <c r="AB53" s="38">
        <f>AB12-CO12</f>
        <v>-125135569</v>
      </c>
      <c r="AC53" s="38">
        <f>AC12-CP12</f>
        <v>0</v>
      </c>
      <c r="AD53" s="38">
        <f>AD12-CQ12</f>
        <v>0</v>
      </c>
      <c r="AE53" s="38">
        <f>AE12-CR12</f>
        <v>0</v>
      </c>
      <c r="AF53" s="38">
        <f>AF12-CS12</f>
        <v>0</v>
      </c>
      <c r="AG53" s="38">
        <f>AG12-CT12</f>
        <v>31446198</v>
      </c>
      <c r="AH53" s="38">
        <f>AH12-CU12</f>
        <v>0</v>
      </c>
      <c r="AI53" s="38">
        <f>AI12-CV12</f>
        <v>0</v>
      </c>
      <c r="AJ53" s="38">
        <f>AJ12-CW12</f>
        <v>0</v>
      </c>
      <c r="AK53" s="38">
        <f>AK12-CX12</f>
        <v>0</v>
      </c>
      <c r="AL53" s="38">
        <f>AL12-CY12</f>
        <v>91275781</v>
      </c>
      <c r="AM53" s="38">
        <f>AM12-CZ12</f>
        <v>0</v>
      </c>
      <c r="AN53" s="38">
        <f>AN12-DA12</f>
        <v>0</v>
      </c>
      <c r="AO53" s="38">
        <f>AO12-DB12</f>
        <v>0</v>
      </c>
      <c r="AP53" s="38">
        <f>AP12-DC12</f>
        <v>0</v>
      </c>
      <c r="AQ53" s="38">
        <f>AQ12-DD12</f>
        <v>-43693858</v>
      </c>
      <c r="AR53" s="38">
        <f>AR12-DE12</f>
        <v>0</v>
      </c>
      <c r="AS53" s="38">
        <f>AS12-DF12</f>
        <v>0</v>
      </c>
      <c r="AT53" s="38">
        <f>AT12-DG12</f>
        <v>0</v>
      </c>
      <c r="AU53" s="38">
        <f>AU12-DH12</f>
        <v>0</v>
      </c>
      <c r="AV53" s="38">
        <f>AV12-DI12</f>
        <v>-10140453</v>
      </c>
      <c r="AW53" s="38">
        <f>AW12-DJ12</f>
        <v>0</v>
      </c>
      <c r="AX53" s="38">
        <f>AX12-DK12</f>
        <v>0</v>
      </c>
      <c r="AY53" s="38">
        <f>AY12-DL12</f>
        <v>0</v>
      </c>
      <c r="AZ53" s="38">
        <f>AZ12-DM12</f>
        <v>0</v>
      </c>
      <c r="BA53" s="38">
        <f>BA12-DN12</f>
        <v>-10866380</v>
      </c>
      <c r="BB53" s="38">
        <f>BB12-DO12</f>
        <v>0</v>
      </c>
      <c r="BC53" s="38">
        <f>BC12-DP12</f>
        <v>0</v>
      </c>
      <c r="BD53" s="38">
        <f>BD12-DQ12</f>
        <v>0</v>
      </c>
      <c r="BE53" s="38">
        <f>BE12-DR12</f>
        <v>0</v>
      </c>
      <c r="BF53" s="38">
        <f>BF12-DS12</f>
        <v>-33784987</v>
      </c>
      <c r="BG53" s="38">
        <f>BG12-DT12</f>
        <v>0</v>
      </c>
      <c r="BH53" s="38">
        <f>BH12-DU12</f>
        <v>0</v>
      </c>
      <c r="BI53" s="38">
        <f>BI12-DV12</f>
        <v>0</v>
      </c>
      <c r="BJ53" s="38">
        <f>BJ12-DW12</f>
        <v>0</v>
      </c>
      <c r="BK53" s="38">
        <f>BK12-DX12</f>
        <v>15953468</v>
      </c>
      <c r="BL53" s="38">
        <f>BL12-DY12</f>
        <v>0</v>
      </c>
      <c r="BM53" s="38">
        <f>BM12-DZ12</f>
        <v>0</v>
      </c>
      <c r="BN53" s="38" t="e">
        <f>BN12-#REF!</f>
        <v>#REF!</v>
      </c>
      <c r="BO53" s="38" t="e">
        <f>BO12-#REF!</f>
        <v>#REF!</v>
      </c>
      <c r="BP53" s="38" t="e">
        <f>BP12-#REF!</f>
        <v>#REF!</v>
      </c>
      <c r="BQ53" s="38" t="e">
        <f>BQ12-#REF!</f>
        <v>#REF!</v>
      </c>
      <c r="BR53" s="38" t="e">
        <f>BR12-#REF!</f>
        <v>#REF!</v>
      </c>
      <c r="BS53" s="38" t="e">
        <f>BS12-#REF!</f>
        <v>#REF!</v>
      </c>
      <c r="BT53" s="38" t="e">
        <f>BT12-#REF!</f>
        <v>#REF!</v>
      </c>
      <c r="BU53" s="38" t="e">
        <f>BU12-#REF!</f>
        <v>#REF!</v>
      </c>
    </row>
    <row r="54" spans="4:113" hidden="1" x14ac:dyDescent="0.3">
      <c r="M54" s="38">
        <f>M13-BZ13</f>
        <v>-2473985</v>
      </c>
      <c r="N54" s="38">
        <f>N13-CA13</f>
        <v>0</v>
      </c>
      <c r="O54" s="38">
        <f>O13-CB13</f>
        <v>0</v>
      </c>
      <c r="P54" s="38">
        <f>P13-CC13</f>
        <v>0</v>
      </c>
      <c r="Q54" s="38">
        <f>Q13-CD13</f>
        <v>0</v>
      </c>
      <c r="R54" s="38">
        <f>R13-CE13</f>
        <v>55172170</v>
      </c>
      <c r="S54" s="38">
        <f>S13-CF13</f>
        <v>0</v>
      </c>
      <c r="T54" s="38">
        <f>T13-CG13</f>
        <v>0</v>
      </c>
      <c r="U54" s="38">
        <f>U13-CH13</f>
        <v>0</v>
      </c>
      <c r="V54" s="38">
        <f>V13-CI13</f>
        <v>0</v>
      </c>
      <c r="W54" s="38">
        <f>W13-CJ13</f>
        <v>58355892</v>
      </c>
      <c r="X54" s="38">
        <f>X13-CK13</f>
        <v>0</v>
      </c>
      <c r="Y54" s="38">
        <f>Y13-CL13</f>
        <v>0</v>
      </c>
      <c r="Z54" s="38">
        <f>Z13-CM13</f>
        <v>0</v>
      </c>
      <c r="AA54" s="38">
        <f>AA13-CN13</f>
        <v>0</v>
      </c>
      <c r="AB54" s="38">
        <f>AB13-CO13</f>
        <v>1134055</v>
      </c>
      <c r="AC54" s="38">
        <f>AC13-CP13</f>
        <v>0</v>
      </c>
      <c r="AD54" s="38">
        <f>AD13-CQ13</f>
        <v>0</v>
      </c>
      <c r="AE54" s="38">
        <f>AE13-CR13</f>
        <v>0</v>
      </c>
      <c r="AF54" s="38">
        <f>AF13-CS13</f>
        <v>0</v>
      </c>
      <c r="AG54" s="38">
        <f>AG13-CT13</f>
        <v>126269624</v>
      </c>
      <c r="AH54" s="38">
        <f>AH13-CU13</f>
        <v>0</v>
      </c>
      <c r="AI54" s="38">
        <f>AI13-CV13</f>
        <v>0</v>
      </c>
      <c r="AJ54" s="38">
        <f>AJ13-CW13</f>
        <v>0</v>
      </c>
      <c r="AK54" s="38">
        <f>AK13-CX13</f>
        <v>0</v>
      </c>
      <c r="AL54" s="38">
        <f>AL13-CY13</f>
        <v>94823426</v>
      </c>
      <c r="AM54" s="38">
        <f>AM13-CZ13</f>
        <v>0</v>
      </c>
      <c r="AN54" s="38">
        <f>AN13-DA13</f>
        <v>0</v>
      </c>
      <c r="AO54" s="38">
        <f>AO13-DB13</f>
        <v>0</v>
      </c>
      <c r="AP54" s="38">
        <f>AP13-DC13</f>
        <v>0</v>
      </c>
      <c r="AQ54" s="38">
        <f>AQ13-DD13</f>
        <v>3547645</v>
      </c>
      <c r="AR54" s="38">
        <f>AR13-DE13</f>
        <v>0</v>
      </c>
      <c r="AS54" s="38">
        <f>AS13-DF13</f>
        <v>0</v>
      </c>
      <c r="AT54" s="38">
        <f>AT13-DG13</f>
        <v>0</v>
      </c>
      <c r="AU54" s="38">
        <f>AU13-DH13</f>
        <v>0</v>
      </c>
      <c r="AV54" s="38">
        <f>AV13-DI13</f>
        <v>47241503</v>
      </c>
      <c r="AW54" s="38">
        <f>AW13-DJ13</f>
        <v>0</v>
      </c>
      <c r="AX54" s="38">
        <f>AX13-DK13</f>
        <v>0</v>
      </c>
      <c r="AY54" s="38">
        <f>AY13-DL13</f>
        <v>0</v>
      </c>
      <c r="AZ54" s="38">
        <f>AZ13-DM13</f>
        <v>0</v>
      </c>
      <c r="BA54" s="38">
        <f>BA13-DN13</f>
        <v>57381956</v>
      </c>
      <c r="BB54" s="38">
        <f>BB13-DO13</f>
        <v>0</v>
      </c>
      <c r="BC54" s="38">
        <f>BC13-DP13</f>
        <v>0</v>
      </c>
      <c r="BD54" s="38">
        <f>BD13-DQ13</f>
        <v>0</v>
      </c>
      <c r="BE54" s="38">
        <f>BE13-DR13</f>
        <v>0</v>
      </c>
      <c r="BF54" s="38">
        <f>BF13-DS13</f>
        <v>68248336</v>
      </c>
      <c r="BG54" s="38">
        <f>BG13-DT13</f>
        <v>0</v>
      </c>
      <c r="BH54" s="38">
        <f>BH13-DU13</f>
        <v>0</v>
      </c>
      <c r="BI54" s="38">
        <f>BI13-DV13</f>
        <v>0</v>
      </c>
      <c r="BJ54" s="38">
        <f>BJ13-DW13</f>
        <v>0</v>
      </c>
      <c r="BK54" s="38">
        <f>BK13-DX13</f>
        <v>102033323</v>
      </c>
      <c r="BL54" s="38">
        <f>BL13-DY13</f>
        <v>0</v>
      </c>
      <c r="BM54" s="38">
        <f>BM13-DZ13</f>
        <v>0</v>
      </c>
      <c r="BN54" s="38" t="e">
        <f>BN13-#REF!</f>
        <v>#REF!</v>
      </c>
      <c r="BO54" s="38" t="e">
        <f>BO13-#REF!</f>
        <v>#REF!</v>
      </c>
      <c r="BP54" s="38" t="e">
        <f>BP13-#REF!</f>
        <v>#REF!</v>
      </c>
      <c r="BQ54" s="38" t="e">
        <f>BQ13-#REF!</f>
        <v>#REF!</v>
      </c>
      <c r="BR54" s="38" t="e">
        <f>BR13-#REF!</f>
        <v>#REF!</v>
      </c>
      <c r="BS54" s="38" t="e">
        <f>BS13-#REF!</f>
        <v>#REF!</v>
      </c>
      <c r="BT54" s="38" t="e">
        <f>BT13-#REF!</f>
        <v>#REF!</v>
      </c>
      <c r="BU54" s="38" t="e">
        <f>BU13-#REF!</f>
        <v>#REF!</v>
      </c>
      <c r="CJ54" s="38">
        <f>CE52-CJ51</f>
        <v>-18212531.271740019</v>
      </c>
    </row>
    <row r="55" spans="4:113" hidden="1" x14ac:dyDescent="0.3">
      <c r="D55" s="570"/>
      <c r="M55" s="38">
        <f>M14-BZ14</f>
        <v>16407808</v>
      </c>
      <c r="N55" s="38">
        <f>N14-CA14</f>
        <v>0</v>
      </c>
      <c r="O55" s="38">
        <f>O14-CB14</f>
        <v>0</v>
      </c>
      <c r="P55" s="38">
        <f>P14-CC14</f>
        <v>0</v>
      </c>
      <c r="Q55" s="38">
        <f>Q14-CD14</f>
        <v>0</v>
      </c>
      <c r="R55" s="38">
        <f>R14-CE14</f>
        <v>16966801</v>
      </c>
      <c r="S55" s="38">
        <f>S14-CF14</f>
        <v>0</v>
      </c>
      <c r="T55" s="38">
        <f>T14-CG14</f>
        <v>0</v>
      </c>
      <c r="U55" s="38">
        <f>U14-CH14</f>
        <v>0</v>
      </c>
      <c r="V55" s="38">
        <f>V14-CI14</f>
        <v>0</v>
      </c>
      <c r="W55" s="38">
        <f>W14-CJ14</f>
        <v>24865930</v>
      </c>
      <c r="X55" s="38">
        <f>X14-CK14</f>
        <v>0</v>
      </c>
      <c r="Y55" s="38">
        <f>Y14-CL14</f>
        <v>0</v>
      </c>
      <c r="Z55" s="38">
        <f>Z14-CM14</f>
        <v>0</v>
      </c>
      <c r="AA55" s="38">
        <f>AA14-CN14</f>
        <v>0</v>
      </c>
      <c r="AB55" s="38">
        <f>AB14-CO14</f>
        <v>17229919</v>
      </c>
      <c r="AC55" s="38">
        <f>AC14-CP14</f>
        <v>0</v>
      </c>
      <c r="AD55" s="38">
        <f>AD14-CQ14</f>
        <v>0</v>
      </c>
      <c r="AE55" s="38">
        <f>AE14-CR14</f>
        <v>0</v>
      </c>
      <c r="AF55" s="38">
        <f>AF14-CS14</f>
        <v>0</v>
      </c>
      <c r="AG55" s="38">
        <f>AG14-CT14</f>
        <v>62600155</v>
      </c>
      <c r="AH55" s="38">
        <f>AH14-CU14</f>
        <v>0</v>
      </c>
      <c r="AI55" s="38">
        <f>AI14-CV14</f>
        <v>0</v>
      </c>
      <c r="AJ55" s="38">
        <f>AJ14-CW14</f>
        <v>0</v>
      </c>
      <c r="AK55" s="38">
        <f>AK14-CX14</f>
        <v>0</v>
      </c>
      <c r="AL55" s="38">
        <f>AL14-CY14</f>
        <v>25114365</v>
      </c>
      <c r="AM55" s="38">
        <f>AM14-CZ14</f>
        <v>0</v>
      </c>
      <c r="AN55" s="38">
        <f>AN14-DA14</f>
        <v>0</v>
      </c>
      <c r="AO55" s="38">
        <f>AO14-DB14</f>
        <v>0</v>
      </c>
      <c r="AP55" s="38">
        <f>AP14-DC14</f>
        <v>0</v>
      </c>
      <c r="AQ55" s="38">
        <f>AQ14-DD14</f>
        <v>-63624200</v>
      </c>
      <c r="AR55" s="38">
        <f>AR14-DE14</f>
        <v>0</v>
      </c>
      <c r="AS55" s="38">
        <f>AS14-DF14</f>
        <v>0</v>
      </c>
      <c r="AT55" s="38">
        <f>AT14-DG14</f>
        <v>0</v>
      </c>
      <c r="AU55" s="38">
        <f>AU14-DH14</f>
        <v>0</v>
      </c>
      <c r="AV55" s="38">
        <f>AV14-DI14</f>
        <v>-72920853</v>
      </c>
      <c r="AW55" s="38">
        <f>AW14-DJ14</f>
        <v>0</v>
      </c>
      <c r="AX55" s="38">
        <f>AX14-DK14</f>
        <v>0</v>
      </c>
      <c r="AY55" s="38">
        <f>AY14-DL14</f>
        <v>0</v>
      </c>
      <c r="AZ55" s="38">
        <f>AZ14-DM14</f>
        <v>0</v>
      </c>
      <c r="BA55" s="38">
        <f>BA14-DN14</f>
        <v>-72696479</v>
      </c>
      <c r="BB55" s="38">
        <f>BB14-DO14</f>
        <v>0</v>
      </c>
      <c r="BC55" s="38">
        <f>BC14-DP14</f>
        <v>0</v>
      </c>
      <c r="BD55" s="38">
        <f>BD14-DQ14</f>
        <v>0</v>
      </c>
      <c r="BE55" s="38">
        <f>BE14-DR14</f>
        <v>0</v>
      </c>
      <c r="BF55" s="38">
        <f>BF14-DS14</f>
        <v>-72531410</v>
      </c>
      <c r="BG55" s="38">
        <f>BG14-DT14</f>
        <v>0</v>
      </c>
      <c r="BH55" s="38">
        <f>BH14-DU14</f>
        <v>0</v>
      </c>
      <c r="BI55" s="38">
        <f>BI14-DV14</f>
        <v>0</v>
      </c>
      <c r="BJ55" s="38">
        <f>BJ14-DW14</f>
        <v>0</v>
      </c>
      <c r="BK55" s="38">
        <f>BK14-DX14</f>
        <v>-72510051</v>
      </c>
      <c r="BL55" s="38">
        <f>BL14-DY14</f>
        <v>0</v>
      </c>
      <c r="BM55" s="38">
        <f>BM14-DZ14</f>
        <v>0</v>
      </c>
      <c r="BN55" s="38" t="e">
        <f>BN14-#REF!</f>
        <v>#REF!</v>
      </c>
      <c r="BO55" s="38" t="e">
        <f>BO14-#REF!</f>
        <v>#REF!</v>
      </c>
      <c r="BP55" s="38" t="e">
        <f>BP14-#REF!</f>
        <v>#REF!</v>
      </c>
      <c r="BQ55" s="38" t="e">
        <f>BQ14-#REF!</f>
        <v>#REF!</v>
      </c>
      <c r="BR55" s="38" t="e">
        <f>BR14-#REF!</f>
        <v>#REF!</v>
      </c>
      <c r="BS55" s="38" t="e">
        <f>BS14-#REF!</f>
        <v>#REF!</v>
      </c>
      <c r="BT55" s="38" t="e">
        <f>BT14-#REF!</f>
        <v>#REF!</v>
      </c>
      <c r="BU55" s="38" t="e">
        <f>BU14-#REF!</f>
        <v>#REF!</v>
      </c>
    </row>
    <row r="56" spans="4:113" hidden="1" x14ac:dyDescent="0.3">
      <c r="D56" s="571"/>
      <c r="M56" s="38">
        <f>M15-BZ15</f>
        <v>-18881793</v>
      </c>
      <c r="N56" s="38">
        <f>N15-CA15</f>
        <v>0</v>
      </c>
      <c r="O56" s="38">
        <f>O15-CB15</f>
        <v>0</v>
      </c>
      <c r="P56" s="38">
        <f>P15-CC15</f>
        <v>0</v>
      </c>
      <c r="Q56" s="38">
        <f>Q15-CD15</f>
        <v>0</v>
      </c>
      <c r="R56" s="38">
        <f>R15-CE15</f>
        <v>38205369</v>
      </c>
      <c r="S56" s="38">
        <f>S15-CF15</f>
        <v>0</v>
      </c>
      <c r="T56" s="38">
        <f>T15-CG15</f>
        <v>0</v>
      </c>
      <c r="U56" s="38">
        <f>U15-CH15</f>
        <v>0</v>
      </c>
      <c r="V56" s="38">
        <f>V15-CI15</f>
        <v>0</v>
      </c>
      <c r="W56" s="38">
        <f>W15-CJ15</f>
        <v>33489962</v>
      </c>
      <c r="X56" s="38">
        <f>X15-CK15</f>
        <v>0</v>
      </c>
      <c r="Y56" s="38">
        <f>Y15-CL15</f>
        <v>0</v>
      </c>
      <c r="Z56" s="38">
        <f>Z15-CM15</f>
        <v>0</v>
      </c>
      <c r="AA56" s="38">
        <f>AA15-CN15</f>
        <v>0</v>
      </c>
      <c r="AB56" s="38">
        <f>AB15-CO15</f>
        <v>-16095864</v>
      </c>
      <c r="AC56" s="38">
        <f>AC15-CP15</f>
        <v>0</v>
      </c>
      <c r="AD56" s="38">
        <f>AD15-CQ15</f>
        <v>0</v>
      </c>
      <c r="AE56" s="38">
        <f>AE15-CR15</f>
        <v>0</v>
      </c>
      <c r="AF56" s="38">
        <f>AF15-CS15</f>
        <v>0</v>
      </c>
      <c r="AG56" s="38">
        <f>AG15-CT15</f>
        <v>63669469</v>
      </c>
      <c r="AH56" s="38">
        <f>AH15-CU15</f>
        <v>0</v>
      </c>
      <c r="AI56" s="38">
        <f>AI15-CV15</f>
        <v>0</v>
      </c>
      <c r="AJ56" s="38">
        <f>AJ15-CW15</f>
        <v>0</v>
      </c>
      <c r="AK56" s="38">
        <f>AK15-CX15</f>
        <v>0</v>
      </c>
      <c r="AL56" s="38">
        <f>AL15-CY15</f>
        <v>69709061</v>
      </c>
      <c r="AM56" s="38">
        <f>AM15-CZ15</f>
        <v>0</v>
      </c>
      <c r="AN56" s="38">
        <f>AN15-DA15</f>
        <v>0</v>
      </c>
      <c r="AO56" s="38">
        <f>AO15-DB15</f>
        <v>0</v>
      </c>
      <c r="AP56" s="38">
        <f>AP15-DC15</f>
        <v>0</v>
      </c>
      <c r="AQ56" s="38">
        <f>AQ15-DD15</f>
        <v>67171845</v>
      </c>
      <c r="AR56" s="38">
        <f>AR15-DE15</f>
        <v>0</v>
      </c>
      <c r="AS56" s="38">
        <f>AS15-DF15</f>
        <v>0</v>
      </c>
      <c r="AT56" s="38">
        <f>AT15-DG15</f>
        <v>0</v>
      </c>
      <c r="AU56" s="38">
        <f>AU15-DH15</f>
        <v>0</v>
      </c>
      <c r="AV56" s="38">
        <f>AV15-DI15</f>
        <v>120162356</v>
      </c>
      <c r="AW56" s="38">
        <f>AW15-DJ15</f>
        <v>0</v>
      </c>
      <c r="AX56" s="38">
        <f>AX15-DK15</f>
        <v>0</v>
      </c>
      <c r="AY56" s="38">
        <f>AY15-DL15</f>
        <v>0</v>
      </c>
      <c r="AZ56" s="38">
        <f>AZ15-DM15</f>
        <v>0</v>
      </c>
      <c r="BA56" s="38">
        <f>BA15-DN15</f>
        <v>130078435</v>
      </c>
      <c r="BB56" s="38">
        <f>BB15-DO15</f>
        <v>0</v>
      </c>
      <c r="BC56" s="38">
        <f>BC15-DP15</f>
        <v>0</v>
      </c>
      <c r="BD56" s="38">
        <f>BD15-DQ15</f>
        <v>0</v>
      </c>
      <c r="BE56" s="38">
        <f>BE15-DR15</f>
        <v>0</v>
      </c>
      <c r="BF56" s="38">
        <f>BF15-DS15</f>
        <v>140779746</v>
      </c>
      <c r="BG56" s="38">
        <f>BG15-DT15</f>
        <v>0</v>
      </c>
      <c r="BH56" s="38">
        <f>BH15-DU15</f>
        <v>0</v>
      </c>
      <c r="BI56" s="38">
        <f>BI15-DV15</f>
        <v>0</v>
      </c>
      <c r="BJ56" s="38">
        <f>BJ15-DW15</f>
        <v>0</v>
      </c>
      <c r="BK56" s="38">
        <f>BK15-DX15</f>
        <v>174543374</v>
      </c>
      <c r="BL56" s="38">
        <f>BL15-DY15</f>
        <v>0</v>
      </c>
      <c r="BM56" s="38">
        <f>BM15-DZ15</f>
        <v>0</v>
      </c>
      <c r="BN56" s="38" t="e">
        <f>BN15-#REF!</f>
        <v>#REF!</v>
      </c>
      <c r="BO56" s="38" t="e">
        <f>BO15-#REF!</f>
        <v>#REF!</v>
      </c>
      <c r="BP56" s="38" t="e">
        <f>BP15-#REF!</f>
        <v>#REF!</v>
      </c>
      <c r="BQ56" s="38" t="e">
        <f>BQ15-#REF!</f>
        <v>#REF!</v>
      </c>
      <c r="BR56" s="38" t="e">
        <f>BR15-#REF!</f>
        <v>#REF!</v>
      </c>
      <c r="BS56" s="38" t="e">
        <f>BS15-#REF!</f>
        <v>#REF!</v>
      </c>
      <c r="BT56" s="38" t="e">
        <f>BT15-#REF!</f>
        <v>#REF!</v>
      </c>
      <c r="BU56" s="38" t="e">
        <f>BU15-#REF!</f>
        <v>#REF!</v>
      </c>
    </row>
    <row r="57" spans="4:113" hidden="1" x14ac:dyDescent="0.3">
      <c r="D57" s="572"/>
      <c r="M57" s="38">
        <f>M16-BZ16</f>
        <v>0</v>
      </c>
      <c r="N57" s="38">
        <f>N16-CA16</f>
        <v>0</v>
      </c>
      <c r="O57" s="38">
        <f>O16-CB16</f>
        <v>0</v>
      </c>
      <c r="P57" s="38">
        <f>P16-CC16</f>
        <v>0</v>
      </c>
      <c r="Q57" s="38">
        <f>Q16-CD16</f>
        <v>0</v>
      </c>
      <c r="R57" s="38">
        <f>R16-CE16</f>
        <v>0</v>
      </c>
      <c r="S57" s="38">
        <f>S16-CF16</f>
        <v>0</v>
      </c>
      <c r="T57" s="38">
        <f>T16-CG16</f>
        <v>0</v>
      </c>
      <c r="U57" s="38">
        <f>U16-CH16</f>
        <v>0</v>
      </c>
      <c r="V57" s="38">
        <f>V16-CI16</f>
        <v>0</v>
      </c>
      <c r="W57" s="38">
        <f>W16-CJ16</f>
        <v>0</v>
      </c>
      <c r="X57" s="38">
        <f>X16-CK16</f>
        <v>0</v>
      </c>
      <c r="Y57" s="38">
        <f>Y16-CL16</f>
        <v>0</v>
      </c>
      <c r="Z57" s="38">
        <f>Z16-CM16</f>
        <v>0</v>
      </c>
      <c r="AA57" s="38">
        <f>AA16-CN16</f>
        <v>0</v>
      </c>
      <c r="AB57" s="38">
        <f>AB16-CO16</f>
        <v>0</v>
      </c>
      <c r="AC57" s="38">
        <f>AC16-CP16</f>
        <v>0</v>
      </c>
      <c r="AD57" s="38">
        <f>AD16-CQ16</f>
        <v>0</v>
      </c>
      <c r="AE57" s="38">
        <f>AE16-CR16</f>
        <v>0</v>
      </c>
      <c r="AF57" s="38">
        <f>AF16-CS16</f>
        <v>0</v>
      </c>
      <c r="AG57" s="38">
        <f>AG16-CT16</f>
        <v>0</v>
      </c>
      <c r="AH57" s="38">
        <f>AH16-CU16</f>
        <v>0</v>
      </c>
      <c r="AI57" s="38">
        <f>AI16-CV16</f>
        <v>0</v>
      </c>
      <c r="AJ57" s="38">
        <f>AJ16-CW16</f>
        <v>0</v>
      </c>
      <c r="AK57" s="38">
        <f>AK16-CX16</f>
        <v>0</v>
      </c>
      <c r="AL57" s="38">
        <f>AL16-CY16</f>
        <v>0</v>
      </c>
      <c r="AM57" s="38">
        <f>AM16-CZ16</f>
        <v>0</v>
      </c>
      <c r="AN57" s="38">
        <f>AN16-DA16</f>
        <v>0</v>
      </c>
      <c r="AO57" s="38">
        <f>AO16-DB16</f>
        <v>0</v>
      </c>
      <c r="AP57" s="38">
        <f>AP16-DC16</f>
        <v>0</v>
      </c>
      <c r="AQ57" s="38">
        <f>AQ16-DD16</f>
        <v>0</v>
      </c>
      <c r="AR57" s="38">
        <f>AR16-DE16</f>
        <v>0</v>
      </c>
      <c r="AS57" s="38">
        <f>AS16-DF16</f>
        <v>0</v>
      </c>
      <c r="AT57" s="38">
        <f>AT16-DG16</f>
        <v>0</v>
      </c>
      <c r="AU57" s="38">
        <f>AU16-DH16</f>
        <v>0</v>
      </c>
      <c r="AV57" s="38">
        <f>AV16-DI16</f>
        <v>0</v>
      </c>
      <c r="AW57" s="38">
        <f>AW16-DJ16</f>
        <v>0</v>
      </c>
      <c r="AX57" s="38">
        <f>AX16-DK16</f>
        <v>0</v>
      </c>
      <c r="AY57" s="38">
        <f>AY16-DL16</f>
        <v>0</v>
      </c>
      <c r="AZ57" s="38">
        <f>AZ16-DM16</f>
        <v>0</v>
      </c>
      <c r="BA57" s="38">
        <f>BA16-DN16</f>
        <v>0</v>
      </c>
      <c r="BB57" s="38">
        <f>BB16-DO16</f>
        <v>0</v>
      </c>
      <c r="BC57" s="38">
        <f>BC16-DP16</f>
        <v>0</v>
      </c>
      <c r="BD57" s="38">
        <f>BD16-DQ16</f>
        <v>0</v>
      </c>
      <c r="BE57" s="38">
        <f>BE16-DR16</f>
        <v>0</v>
      </c>
      <c r="BF57" s="38">
        <f>BF16-DS16</f>
        <v>0</v>
      </c>
      <c r="BG57" s="38">
        <f>BG16-DT16</f>
        <v>0</v>
      </c>
      <c r="BH57" s="38">
        <f>BH16-DU16</f>
        <v>0</v>
      </c>
      <c r="BI57" s="38">
        <f>BI16-DV16</f>
        <v>0</v>
      </c>
      <c r="BJ57" s="38">
        <f>BJ16-DW16</f>
        <v>0</v>
      </c>
      <c r="BK57" s="38">
        <f>BK16-DX16</f>
        <v>0</v>
      </c>
      <c r="BL57" s="38">
        <f>BL16-DY16</f>
        <v>0</v>
      </c>
      <c r="BM57" s="38">
        <f>BM16-DZ16</f>
        <v>0</v>
      </c>
      <c r="BN57" s="38" t="e">
        <f>BN16-#REF!</f>
        <v>#REF!</v>
      </c>
      <c r="BO57" s="38" t="e">
        <f>BO16-#REF!</f>
        <v>#REF!</v>
      </c>
      <c r="BP57" s="38" t="e">
        <f>BP16-#REF!</f>
        <v>#REF!</v>
      </c>
      <c r="BQ57" s="38" t="e">
        <f>BQ16-#REF!</f>
        <v>#REF!</v>
      </c>
      <c r="BR57" s="38" t="e">
        <f>BR16-#REF!</f>
        <v>#REF!</v>
      </c>
      <c r="BS57" s="38" t="e">
        <f>BS16-#REF!</f>
        <v>#REF!</v>
      </c>
      <c r="BT57" s="38" t="e">
        <f>BT16-#REF!</f>
        <v>#REF!</v>
      </c>
      <c r="BU57" s="38" t="e">
        <f>BU16-#REF!</f>
        <v>#REF!</v>
      </c>
      <c r="CE57" s="573"/>
    </row>
    <row r="58" spans="4:113" hidden="1" x14ac:dyDescent="0.3">
      <c r="M58" s="38">
        <f>M17-BZ17</f>
        <v>55172170</v>
      </c>
      <c r="N58" s="38">
        <f>N17-CA17</f>
        <v>0</v>
      </c>
      <c r="O58" s="38">
        <f>O17-CB17</f>
        <v>0</v>
      </c>
      <c r="P58" s="38">
        <f>P17-CC17</f>
        <v>0</v>
      </c>
      <c r="Q58" s="38">
        <f>Q17-CD17</f>
        <v>0</v>
      </c>
      <c r="R58" s="38">
        <f>R17-CE17</f>
        <v>58355892</v>
      </c>
      <c r="S58" s="38">
        <f>S17-CF17</f>
        <v>0</v>
      </c>
      <c r="T58" s="38">
        <f>T17-CG17</f>
        <v>0</v>
      </c>
      <c r="U58" s="38">
        <f>U17-CH17</f>
        <v>0</v>
      </c>
      <c r="V58" s="38">
        <f>V17-CI17</f>
        <v>0</v>
      </c>
      <c r="W58" s="38">
        <f>W17-CJ17</f>
        <v>1134055</v>
      </c>
      <c r="X58" s="38">
        <f>X17-CK17</f>
        <v>0</v>
      </c>
      <c r="Y58" s="38">
        <f>Y17-CL17</f>
        <v>0</v>
      </c>
      <c r="Z58" s="38">
        <f>Z17-CM17</f>
        <v>0</v>
      </c>
      <c r="AA58" s="38">
        <f>AA17-CN17</f>
        <v>0</v>
      </c>
      <c r="AB58" s="38">
        <f>AB17-CO17</f>
        <v>126269624</v>
      </c>
      <c r="AC58" s="38">
        <f>AC17-CP17</f>
        <v>0</v>
      </c>
      <c r="AD58" s="38">
        <f>AD17-CQ17</f>
        <v>0</v>
      </c>
      <c r="AE58" s="38">
        <f>AE17-CR17</f>
        <v>0</v>
      </c>
      <c r="AF58" s="38">
        <f>AF17-CS17</f>
        <v>0</v>
      </c>
      <c r="AG58" s="38">
        <f>AG17-CT17</f>
        <v>94823426</v>
      </c>
      <c r="AH58" s="38">
        <f>AH17-CU17</f>
        <v>0</v>
      </c>
      <c r="AI58" s="38">
        <f>AI17-CV17</f>
        <v>0</v>
      </c>
      <c r="AJ58" s="38">
        <f>AJ17-CW17</f>
        <v>0</v>
      </c>
      <c r="AK58" s="38">
        <f>AK17-CX17</f>
        <v>0</v>
      </c>
      <c r="AL58" s="38">
        <f>AL17-CY17</f>
        <v>3547645</v>
      </c>
      <c r="AM58" s="38">
        <f>AM17-CZ17</f>
        <v>0</v>
      </c>
      <c r="AN58" s="38">
        <f>AN17-DA17</f>
        <v>0</v>
      </c>
      <c r="AO58" s="38">
        <f>AO17-DB17</f>
        <v>0</v>
      </c>
      <c r="AP58" s="38">
        <f>AP17-DC17</f>
        <v>0</v>
      </c>
      <c r="AQ58" s="38">
        <f>AQ17-DD17</f>
        <v>47241503</v>
      </c>
      <c r="AR58" s="38">
        <f>AR17-DE17</f>
        <v>0</v>
      </c>
      <c r="AS58" s="38">
        <f>AS17-DF17</f>
        <v>0</v>
      </c>
      <c r="AT58" s="38">
        <f>AT17-DG17</f>
        <v>0</v>
      </c>
      <c r="AU58" s="38">
        <f>AU17-DH17</f>
        <v>0</v>
      </c>
      <c r="AV58" s="38">
        <f>AV17-DI17</f>
        <v>57381956</v>
      </c>
      <c r="AW58" s="38">
        <f>AW17-DJ17</f>
        <v>0</v>
      </c>
      <c r="AX58" s="38">
        <f>AX17-DK17</f>
        <v>0</v>
      </c>
      <c r="AY58" s="38">
        <f>AY17-DL17</f>
        <v>0</v>
      </c>
      <c r="AZ58" s="38">
        <f>AZ17-DM17</f>
        <v>0</v>
      </c>
      <c r="BA58" s="38">
        <f>BA17-DN17</f>
        <v>68248336</v>
      </c>
      <c r="BB58" s="38">
        <f>BB17-DO17</f>
        <v>0</v>
      </c>
      <c r="BC58" s="38">
        <f>BC17-DP17</f>
        <v>0</v>
      </c>
      <c r="BD58" s="38">
        <f>BD17-DQ17</f>
        <v>0</v>
      </c>
      <c r="BE58" s="38">
        <f>BE17-DR17</f>
        <v>0</v>
      </c>
      <c r="BF58" s="38">
        <f>BF17-DS17</f>
        <v>102033323</v>
      </c>
      <c r="BG58" s="38">
        <f>BG17-DT17</f>
        <v>0</v>
      </c>
      <c r="BH58" s="38">
        <f>BH17-DU17</f>
        <v>0</v>
      </c>
      <c r="BI58" s="38">
        <f>BI17-DV17</f>
        <v>0</v>
      </c>
      <c r="BJ58" s="38">
        <f>BJ17-DW17</f>
        <v>0</v>
      </c>
      <c r="BK58" s="38">
        <f>BK17-DX17</f>
        <v>86079855</v>
      </c>
      <c r="BL58" s="38">
        <f>BL17-DY17</f>
        <v>0</v>
      </c>
      <c r="BM58" s="38">
        <f>BM17-DZ17</f>
        <v>0</v>
      </c>
      <c r="BN58" s="38" t="e">
        <f>BN17-#REF!</f>
        <v>#REF!</v>
      </c>
      <c r="BO58" s="38" t="e">
        <f>BO17-#REF!</f>
        <v>#REF!</v>
      </c>
      <c r="BP58" s="38" t="e">
        <f>BP17-#REF!</f>
        <v>#REF!</v>
      </c>
      <c r="BQ58" s="38" t="e">
        <f>BQ17-#REF!</f>
        <v>#REF!</v>
      </c>
      <c r="BR58" s="38" t="e">
        <f>BR17-#REF!</f>
        <v>#REF!</v>
      </c>
      <c r="BS58" s="38" t="e">
        <f>BS17-#REF!</f>
        <v>#REF!</v>
      </c>
      <c r="BT58" s="38" t="e">
        <f>BT17-#REF!</f>
        <v>#REF!</v>
      </c>
      <c r="BU58" s="38" t="e">
        <f>BU17-#REF!</f>
        <v>#REF!</v>
      </c>
    </row>
    <row r="59" spans="4:113" hidden="1" x14ac:dyDescent="0.3">
      <c r="E59" s="165"/>
      <c r="F59" s="388"/>
      <c r="G59" s="388"/>
      <c r="M59" s="38">
        <f>M18-BZ18</f>
        <v>16966801</v>
      </c>
      <c r="N59" s="38">
        <f>N18-CA18</f>
        <v>0</v>
      </c>
      <c r="O59" s="38">
        <f>O18-CB18</f>
        <v>0</v>
      </c>
      <c r="P59" s="38">
        <f>P18-CC18</f>
        <v>0</v>
      </c>
      <c r="Q59" s="38">
        <f>Q18-CD18</f>
        <v>0</v>
      </c>
      <c r="R59" s="38">
        <f>R18-CE18</f>
        <v>24865930</v>
      </c>
      <c r="S59" s="38">
        <f>S18-CF18</f>
        <v>0</v>
      </c>
      <c r="T59" s="38">
        <f>T18-CG18</f>
        <v>0</v>
      </c>
      <c r="U59" s="38">
        <f>U18-CH18</f>
        <v>0</v>
      </c>
      <c r="V59" s="38">
        <f>V18-CI18</f>
        <v>0</v>
      </c>
      <c r="W59" s="38">
        <f>W18-CJ18</f>
        <v>17229919</v>
      </c>
      <c r="X59" s="38">
        <f>X18-CK18</f>
        <v>0</v>
      </c>
      <c r="Y59" s="38">
        <f>Y18-CL18</f>
        <v>0</v>
      </c>
      <c r="Z59" s="38">
        <f>Z18-CM18</f>
        <v>0</v>
      </c>
      <c r="AA59" s="38">
        <f>AA18-CN18</f>
        <v>0</v>
      </c>
      <c r="AB59" s="38">
        <f>AB18-CO18</f>
        <v>62600155</v>
      </c>
      <c r="AC59" s="38">
        <f>AC18-CP18</f>
        <v>0</v>
      </c>
      <c r="AD59" s="38">
        <f>AD18-CQ18</f>
        <v>0</v>
      </c>
      <c r="AE59" s="38">
        <f>AE18-CR18</f>
        <v>0</v>
      </c>
      <c r="AF59" s="38">
        <f>AF18-CS18</f>
        <v>0</v>
      </c>
      <c r="AG59" s="38">
        <f>AG18-CT18</f>
        <v>25114365</v>
      </c>
      <c r="AH59" s="38">
        <f>AH18-CU18</f>
        <v>0</v>
      </c>
      <c r="AI59" s="38">
        <f>AI18-CV18</f>
        <v>0</v>
      </c>
      <c r="AJ59" s="38">
        <f>AJ18-CW18</f>
        <v>0</v>
      </c>
      <c r="AK59" s="38">
        <f>AK18-CX18</f>
        <v>0</v>
      </c>
      <c r="AL59" s="38">
        <f>AL18-CY18</f>
        <v>-63624200</v>
      </c>
      <c r="AM59" s="38">
        <f>AM18-CZ18</f>
        <v>0</v>
      </c>
      <c r="AN59" s="38">
        <f>AN18-DA18</f>
        <v>0</v>
      </c>
      <c r="AO59" s="38">
        <f>AO18-DB18</f>
        <v>0</v>
      </c>
      <c r="AP59" s="38">
        <f>AP18-DC18</f>
        <v>0</v>
      </c>
      <c r="AQ59" s="38">
        <f>AQ18-DD18</f>
        <v>-72920853</v>
      </c>
      <c r="AR59" s="38">
        <f>AR18-DE18</f>
        <v>0</v>
      </c>
      <c r="AS59" s="38">
        <f>AS18-DF18</f>
        <v>0</v>
      </c>
      <c r="AT59" s="38">
        <f>AT18-DG18</f>
        <v>0</v>
      </c>
      <c r="AU59" s="38">
        <f>AU18-DH18</f>
        <v>0</v>
      </c>
      <c r="AV59" s="38">
        <f>AV18-DI18</f>
        <v>-72696479</v>
      </c>
      <c r="AW59" s="38">
        <f>AW18-DJ18</f>
        <v>0</v>
      </c>
      <c r="AX59" s="38">
        <f>AX18-DK18</f>
        <v>0</v>
      </c>
      <c r="AY59" s="38">
        <f>AY18-DL18</f>
        <v>0</v>
      </c>
      <c r="AZ59" s="38">
        <f>AZ18-DM18</f>
        <v>0</v>
      </c>
      <c r="BA59" s="38">
        <f>BA18-DN18</f>
        <v>-72531410</v>
      </c>
      <c r="BB59" s="38">
        <f>BB18-DO18</f>
        <v>0</v>
      </c>
      <c r="BC59" s="38">
        <f>BC18-DP18</f>
        <v>0</v>
      </c>
      <c r="BD59" s="38">
        <f>BD18-DQ18</f>
        <v>0</v>
      </c>
      <c r="BE59" s="38">
        <f>BE18-DR18</f>
        <v>0</v>
      </c>
      <c r="BF59" s="38">
        <f>BF18-DS18</f>
        <v>-72510051</v>
      </c>
      <c r="BG59" s="38">
        <f>BG18-DT18</f>
        <v>0</v>
      </c>
      <c r="BH59" s="38">
        <f>BH18-DU18</f>
        <v>0</v>
      </c>
      <c r="BI59" s="38">
        <f>BI18-DV18</f>
        <v>0</v>
      </c>
      <c r="BJ59" s="38">
        <f>BJ18-DW18</f>
        <v>0</v>
      </c>
      <c r="BK59" s="38">
        <f>BK18-DX18</f>
        <v>-72590067</v>
      </c>
      <c r="BL59" s="38">
        <f>BL18-DY18</f>
        <v>0</v>
      </c>
      <c r="BM59" s="38">
        <f>BM18-DZ18</f>
        <v>0</v>
      </c>
      <c r="BN59" s="38" t="e">
        <f>BN18-#REF!</f>
        <v>#REF!</v>
      </c>
      <c r="BO59" s="38" t="e">
        <f>BO18-#REF!</f>
        <v>#REF!</v>
      </c>
      <c r="BP59" s="38" t="e">
        <f>BP18-#REF!</f>
        <v>#REF!</v>
      </c>
      <c r="BQ59" s="38" t="e">
        <f>BQ18-#REF!</f>
        <v>#REF!</v>
      </c>
      <c r="BR59" s="38" t="e">
        <f>BR18-#REF!</f>
        <v>#REF!</v>
      </c>
      <c r="BS59" s="38" t="e">
        <f>BS18-#REF!</f>
        <v>#REF!</v>
      </c>
      <c r="BT59" s="38" t="e">
        <f>BT18-#REF!</f>
        <v>#REF!</v>
      </c>
      <c r="BU59" s="38" t="e">
        <f>BU18-#REF!</f>
        <v>#REF!</v>
      </c>
    </row>
    <row r="60" spans="4:113" hidden="1" x14ac:dyDescent="0.3">
      <c r="M60" s="38">
        <f>M19-BZ19</f>
        <v>38205369</v>
      </c>
      <c r="N60" s="38">
        <f>N19-CA19</f>
        <v>0</v>
      </c>
      <c r="O60" s="38">
        <f>O19-CB19</f>
        <v>0</v>
      </c>
      <c r="P60" s="38">
        <f>P19-CC19</f>
        <v>0</v>
      </c>
      <c r="Q60" s="38">
        <f>Q19-CD19</f>
        <v>0</v>
      </c>
      <c r="R60" s="38">
        <f>R19-CE19</f>
        <v>33489962</v>
      </c>
      <c r="S60" s="38">
        <f>S19-CF19</f>
        <v>0</v>
      </c>
      <c r="T60" s="38">
        <f>T19-CG19</f>
        <v>0</v>
      </c>
      <c r="U60" s="38">
        <f>U19-CH19</f>
        <v>0</v>
      </c>
      <c r="V60" s="38">
        <f>V19-CI19</f>
        <v>0</v>
      </c>
      <c r="W60" s="38">
        <f>W19-CJ19</f>
        <v>-16095864</v>
      </c>
      <c r="X60" s="38">
        <f>X19-CK19</f>
        <v>0</v>
      </c>
      <c r="Y60" s="38">
        <f>Y19-CL19</f>
        <v>0</v>
      </c>
      <c r="Z60" s="38">
        <f>Z19-CM19</f>
        <v>0</v>
      </c>
      <c r="AA60" s="38">
        <f>AA19-CN19</f>
        <v>0</v>
      </c>
      <c r="AB60" s="38">
        <f>AB19-CO19</f>
        <v>63669469</v>
      </c>
      <c r="AC60" s="38">
        <f>AC19-CP19</f>
        <v>0</v>
      </c>
      <c r="AD60" s="38">
        <f>AD19-CQ19</f>
        <v>0</v>
      </c>
      <c r="AE60" s="38">
        <f>AE19-CR19</f>
        <v>0</v>
      </c>
      <c r="AF60" s="38">
        <f>AF19-CS19</f>
        <v>0</v>
      </c>
      <c r="AG60" s="38">
        <f>AG19-CT19</f>
        <v>69709061</v>
      </c>
      <c r="AH60" s="38">
        <f>AH19-CU19</f>
        <v>0</v>
      </c>
      <c r="AI60" s="38">
        <f>AI19-CV19</f>
        <v>0</v>
      </c>
      <c r="AJ60" s="38">
        <f>AJ19-CW19</f>
        <v>0</v>
      </c>
      <c r="AK60" s="38">
        <f>AK19-CX19</f>
        <v>0</v>
      </c>
      <c r="AL60" s="38">
        <f>AL19-CY19</f>
        <v>67171845</v>
      </c>
      <c r="AM60" s="38">
        <f>AM19-CZ19</f>
        <v>0</v>
      </c>
      <c r="AN60" s="38">
        <f>AN19-DA19</f>
        <v>0</v>
      </c>
      <c r="AO60" s="38">
        <f>AO19-DB19</f>
        <v>0</v>
      </c>
      <c r="AP60" s="38">
        <f>AP19-DC19</f>
        <v>0</v>
      </c>
      <c r="AQ60" s="38">
        <f>AQ19-DD19</f>
        <v>120162356</v>
      </c>
      <c r="AR60" s="38">
        <f>AR19-DE19</f>
        <v>0</v>
      </c>
      <c r="AS60" s="38">
        <f>AS19-DF19</f>
        <v>0</v>
      </c>
      <c r="AT60" s="38">
        <f>AT19-DG19</f>
        <v>0</v>
      </c>
      <c r="AU60" s="38">
        <f>AU19-DH19</f>
        <v>0</v>
      </c>
      <c r="AV60" s="38">
        <f>AV19-DI19</f>
        <v>130078435</v>
      </c>
      <c r="AW60" s="38">
        <f>AW19-DJ19</f>
        <v>0</v>
      </c>
      <c r="AX60" s="38">
        <f>AX19-DK19</f>
        <v>0</v>
      </c>
      <c r="AY60" s="38">
        <f>AY19-DL19</f>
        <v>0</v>
      </c>
      <c r="AZ60" s="38">
        <f>AZ19-DM19</f>
        <v>0</v>
      </c>
      <c r="BA60" s="38">
        <f>BA19-DN19</f>
        <v>140779746</v>
      </c>
      <c r="BB60" s="38">
        <f>BB19-DO19</f>
        <v>0</v>
      </c>
      <c r="BC60" s="38">
        <f>BC19-DP19</f>
        <v>0</v>
      </c>
      <c r="BD60" s="38">
        <f>BD19-DQ19</f>
        <v>0</v>
      </c>
      <c r="BE60" s="38">
        <f>BE19-DR19</f>
        <v>0</v>
      </c>
      <c r="BF60" s="38">
        <f>BF19-DS19</f>
        <v>174543374</v>
      </c>
      <c r="BG60" s="38">
        <f>BG19-DT19</f>
        <v>0</v>
      </c>
      <c r="BH60" s="38">
        <f>BH19-DU19</f>
        <v>0</v>
      </c>
      <c r="BI60" s="38">
        <f>BI19-DV19</f>
        <v>0</v>
      </c>
      <c r="BJ60" s="38">
        <f>BJ19-DW19</f>
        <v>0</v>
      </c>
      <c r="BK60" s="38">
        <f>BK19-DX19</f>
        <v>158669922</v>
      </c>
      <c r="BL60" s="38">
        <f>BL19-DY19</f>
        <v>0</v>
      </c>
      <c r="BM60" s="38">
        <f>BM19-DZ19</f>
        <v>0</v>
      </c>
      <c r="BN60" s="38" t="e">
        <f>BN19-#REF!</f>
        <v>#REF!</v>
      </c>
      <c r="BO60" s="38" t="e">
        <f>BO19-#REF!</f>
        <v>#REF!</v>
      </c>
      <c r="BP60" s="38" t="e">
        <f>BP19-#REF!</f>
        <v>#REF!</v>
      </c>
      <c r="BQ60" s="38" t="e">
        <f>BQ19-#REF!</f>
        <v>#REF!</v>
      </c>
      <c r="BR60" s="38" t="e">
        <f>BR19-#REF!</f>
        <v>#REF!</v>
      </c>
      <c r="BS60" s="38" t="e">
        <f>BS19-#REF!</f>
        <v>#REF!</v>
      </c>
      <c r="BT60" s="38" t="e">
        <f>BT19-#REF!</f>
        <v>#REF!</v>
      </c>
      <c r="BU60" s="38" t="e">
        <f>BU19-#REF!</f>
        <v>#REF!</v>
      </c>
    </row>
    <row r="61" spans="4:113" hidden="1" x14ac:dyDescent="0.3">
      <c r="M61" s="38">
        <f>M20-BZ20</f>
        <v>0</v>
      </c>
      <c r="N61" s="38">
        <f>N20-CA20</f>
        <v>0</v>
      </c>
      <c r="O61" s="38">
        <f>O20-CB20</f>
        <v>0</v>
      </c>
      <c r="P61" s="38">
        <f>P20-CC20</f>
        <v>0</v>
      </c>
      <c r="Q61" s="38">
        <f>Q20-CD20</f>
        <v>0</v>
      </c>
      <c r="R61" s="38">
        <f>R20-CE20</f>
        <v>0</v>
      </c>
      <c r="S61" s="38">
        <f>S20-CF20</f>
        <v>0</v>
      </c>
      <c r="T61" s="38">
        <f>T20-CG20</f>
        <v>0</v>
      </c>
      <c r="U61" s="38">
        <f>U20-CH20</f>
        <v>0</v>
      </c>
      <c r="V61" s="38">
        <f>V20-CI20</f>
        <v>0</v>
      </c>
      <c r="W61" s="38">
        <f>W20-CJ20</f>
        <v>0</v>
      </c>
      <c r="X61" s="38">
        <f>X20-CK20</f>
        <v>0</v>
      </c>
      <c r="Y61" s="38">
        <f>Y20-CL20</f>
        <v>0</v>
      </c>
      <c r="Z61" s="38">
        <f>Z20-CM20</f>
        <v>0</v>
      </c>
      <c r="AA61" s="38">
        <f>AA20-CN20</f>
        <v>0</v>
      </c>
      <c r="AB61" s="38">
        <f>AB20-CO20</f>
        <v>0</v>
      </c>
      <c r="AC61" s="38">
        <f>AC20-CP20</f>
        <v>0</v>
      </c>
      <c r="AD61" s="38">
        <f>AD20-CQ20</f>
        <v>0</v>
      </c>
      <c r="AE61" s="38">
        <f>AE20-CR20</f>
        <v>0</v>
      </c>
      <c r="AF61" s="38">
        <f>AF20-CS20</f>
        <v>0</v>
      </c>
      <c r="AG61" s="38">
        <f>AG20-CT20</f>
        <v>0</v>
      </c>
      <c r="AH61" s="38">
        <f>AH20-CU20</f>
        <v>0</v>
      </c>
      <c r="AI61" s="38">
        <f>AI20-CV20</f>
        <v>0</v>
      </c>
      <c r="AJ61" s="38">
        <f>AJ20-CW20</f>
        <v>0</v>
      </c>
      <c r="AK61" s="38">
        <f>AK20-CX20</f>
        <v>0</v>
      </c>
      <c r="AL61" s="38">
        <f>AL20-CY20</f>
        <v>0</v>
      </c>
      <c r="AM61" s="38">
        <f>AM20-CZ20</f>
        <v>0</v>
      </c>
      <c r="AN61" s="38">
        <f>AN20-DA20</f>
        <v>0</v>
      </c>
      <c r="AO61" s="38">
        <f>AO20-DB20</f>
        <v>0</v>
      </c>
      <c r="AP61" s="38">
        <f>AP20-DC20</f>
        <v>0</v>
      </c>
      <c r="AQ61" s="38">
        <f>AQ20-DD20</f>
        <v>0</v>
      </c>
      <c r="AR61" s="38">
        <f>AR20-DE20</f>
        <v>0</v>
      </c>
      <c r="AS61" s="38">
        <f>AS20-DF20</f>
        <v>0</v>
      </c>
      <c r="AT61" s="38">
        <f>AT20-DG20</f>
        <v>0</v>
      </c>
      <c r="AU61" s="38">
        <f>AU20-DH20</f>
        <v>0</v>
      </c>
      <c r="AV61" s="38">
        <f>AV20-DI20</f>
        <v>0</v>
      </c>
      <c r="AW61" s="38">
        <f>AW20-DJ20</f>
        <v>0</v>
      </c>
      <c r="AX61" s="38">
        <f>AX20-DK20</f>
        <v>0</v>
      </c>
      <c r="AY61" s="38">
        <f>AY20-DL20</f>
        <v>0</v>
      </c>
      <c r="AZ61" s="38">
        <f>AZ20-DM20</f>
        <v>0</v>
      </c>
      <c r="BA61" s="38">
        <f>BA20-DN20</f>
        <v>0</v>
      </c>
      <c r="BB61" s="38">
        <f>BB20-DO20</f>
        <v>0</v>
      </c>
      <c r="BC61" s="38">
        <f>BC20-DP20</f>
        <v>0</v>
      </c>
      <c r="BD61" s="38">
        <f>BD20-DQ20</f>
        <v>0</v>
      </c>
      <c r="BE61" s="38">
        <f>BE20-DR20</f>
        <v>0</v>
      </c>
      <c r="BF61" s="38">
        <f>BF20-DS20</f>
        <v>0</v>
      </c>
      <c r="BG61" s="38">
        <f>BG20-DT20</f>
        <v>0</v>
      </c>
      <c r="BH61" s="38">
        <f>BH20-DU20</f>
        <v>0</v>
      </c>
      <c r="BI61" s="38">
        <f>BI20-DV20</f>
        <v>0</v>
      </c>
      <c r="BJ61" s="38">
        <f>BJ20-DW20</f>
        <v>0</v>
      </c>
      <c r="BK61" s="38">
        <f>BK20-DX20</f>
        <v>0</v>
      </c>
      <c r="BL61" s="38">
        <f>BL20-DY20</f>
        <v>0</v>
      </c>
      <c r="BM61" s="38">
        <f>BM20-DZ20</f>
        <v>0</v>
      </c>
      <c r="BN61" s="38" t="e">
        <f>BN20-#REF!</f>
        <v>#REF!</v>
      </c>
      <c r="BO61" s="38" t="e">
        <f>BO20-#REF!</f>
        <v>#REF!</v>
      </c>
      <c r="BP61" s="38" t="e">
        <f>BP20-#REF!</f>
        <v>#REF!</v>
      </c>
      <c r="BQ61" s="38" t="e">
        <f>BQ20-#REF!</f>
        <v>#REF!</v>
      </c>
      <c r="BR61" s="38" t="e">
        <f>BR20-#REF!</f>
        <v>#REF!</v>
      </c>
      <c r="BS61" s="38" t="e">
        <f>BS20-#REF!</f>
        <v>#REF!</v>
      </c>
      <c r="BT61" s="38" t="e">
        <f>BT20-#REF!</f>
        <v>#REF!</v>
      </c>
      <c r="BU61" s="38" t="e">
        <f>BU20-#REF!</f>
        <v>#REF!</v>
      </c>
    </row>
    <row r="62" spans="4:113" hidden="1" x14ac:dyDescent="0.3">
      <c r="M62" s="38">
        <f>M21-BZ21</f>
        <v>0</v>
      </c>
      <c r="N62" s="38">
        <f>N21-CA21</f>
        <v>0</v>
      </c>
      <c r="O62" s="38">
        <f>O21-CB21</f>
        <v>0</v>
      </c>
      <c r="P62" s="38">
        <f>P21-CC21</f>
        <v>0</v>
      </c>
      <c r="Q62" s="38">
        <f>Q21-CD21</f>
        <v>0</v>
      </c>
      <c r="R62" s="38">
        <f>R21-CE21</f>
        <v>0</v>
      </c>
      <c r="S62" s="38">
        <f>S21-CF21</f>
        <v>0</v>
      </c>
      <c r="T62" s="38">
        <f>T21-CG21</f>
        <v>0</v>
      </c>
      <c r="U62" s="38">
        <f>U21-CH21</f>
        <v>0</v>
      </c>
      <c r="V62" s="38">
        <f>V21-CI21</f>
        <v>0</v>
      </c>
      <c r="W62" s="38">
        <f>W21-CJ21</f>
        <v>0</v>
      </c>
      <c r="X62" s="38">
        <f>X21-CK21</f>
        <v>0</v>
      </c>
      <c r="Y62" s="38">
        <f>Y21-CL21</f>
        <v>0</v>
      </c>
      <c r="Z62" s="38">
        <f>Z21-CM21</f>
        <v>0</v>
      </c>
      <c r="AA62" s="38">
        <f>AA21-CN21</f>
        <v>0</v>
      </c>
      <c r="AB62" s="38">
        <f>AB21-CO21</f>
        <v>0</v>
      </c>
      <c r="AC62" s="38">
        <f>AC21-CP21</f>
        <v>0</v>
      </c>
      <c r="AD62" s="38">
        <f>AD21-CQ21</f>
        <v>0</v>
      </c>
      <c r="AE62" s="38">
        <f>AE21-CR21</f>
        <v>0</v>
      </c>
      <c r="AF62" s="38">
        <f>AF21-CS21</f>
        <v>0</v>
      </c>
      <c r="AG62" s="38">
        <f>AG21-CT21</f>
        <v>0</v>
      </c>
      <c r="AH62" s="38">
        <f>AH21-CU21</f>
        <v>0</v>
      </c>
      <c r="AI62" s="38">
        <f>AI21-CV21</f>
        <v>0</v>
      </c>
      <c r="AJ62" s="38">
        <f>AJ21-CW21</f>
        <v>0</v>
      </c>
      <c r="AK62" s="38">
        <f>AK21-CX21</f>
        <v>0</v>
      </c>
      <c r="AL62" s="38">
        <f>AL21-CY21</f>
        <v>0</v>
      </c>
      <c r="AM62" s="38">
        <f>AM21-CZ21</f>
        <v>0</v>
      </c>
      <c r="AN62" s="38">
        <f>AN21-DA21</f>
        <v>0</v>
      </c>
      <c r="AO62" s="38">
        <f>AO21-DB21</f>
        <v>0</v>
      </c>
      <c r="AP62" s="38">
        <f>AP21-DC21</f>
        <v>0</v>
      </c>
      <c r="AQ62" s="38">
        <f>AQ21-DD21</f>
        <v>0</v>
      </c>
      <c r="AR62" s="38">
        <f>AR21-DE21</f>
        <v>0</v>
      </c>
      <c r="AS62" s="38">
        <f>AS21-DF21</f>
        <v>0</v>
      </c>
      <c r="AT62" s="38">
        <f>AT21-DG21</f>
        <v>0</v>
      </c>
      <c r="AU62" s="38">
        <f>AU21-DH21</f>
        <v>0</v>
      </c>
      <c r="AV62" s="38">
        <f>AV21-DI21</f>
        <v>0</v>
      </c>
      <c r="AW62" s="38">
        <f>AW21-DJ21</f>
        <v>0</v>
      </c>
      <c r="AX62" s="38">
        <f>AX21-DK21</f>
        <v>0</v>
      </c>
      <c r="AY62" s="38">
        <f>AY21-DL21</f>
        <v>0</v>
      </c>
      <c r="AZ62" s="38">
        <f>AZ21-DM21</f>
        <v>0</v>
      </c>
      <c r="BA62" s="38">
        <f>BA21-DN21</f>
        <v>0</v>
      </c>
      <c r="BB62" s="38">
        <f>BB21-DO21</f>
        <v>0</v>
      </c>
      <c r="BC62" s="38">
        <f>BC21-DP21</f>
        <v>0</v>
      </c>
      <c r="BD62" s="38">
        <f>BD21-DQ21</f>
        <v>0</v>
      </c>
      <c r="BE62" s="38">
        <f>BE21-DR21</f>
        <v>0</v>
      </c>
      <c r="BF62" s="38">
        <f>BF21-DS21</f>
        <v>0</v>
      </c>
      <c r="BG62" s="38">
        <f>BG21-DT21</f>
        <v>0</v>
      </c>
      <c r="BH62" s="38">
        <f>BH21-DU21</f>
        <v>0</v>
      </c>
      <c r="BI62" s="38">
        <f>BI21-DV21</f>
        <v>0</v>
      </c>
      <c r="BJ62" s="38">
        <f>BJ21-DW21</f>
        <v>0</v>
      </c>
      <c r="BK62" s="38">
        <f>BK21-DX21</f>
        <v>0</v>
      </c>
      <c r="BL62" s="38">
        <f>BL21-DY21</f>
        <v>0</v>
      </c>
      <c r="BM62" s="38">
        <f>BM21-DZ21</f>
        <v>0</v>
      </c>
      <c r="BN62" s="38" t="e">
        <f>BN21-#REF!</f>
        <v>#REF!</v>
      </c>
      <c r="BO62" s="38" t="e">
        <f>BO21-#REF!</f>
        <v>#REF!</v>
      </c>
      <c r="BP62" s="38" t="e">
        <f>BP21-#REF!</f>
        <v>#REF!</v>
      </c>
      <c r="BQ62" s="38" t="e">
        <f>BQ21-#REF!</f>
        <v>#REF!</v>
      </c>
      <c r="BR62" s="38" t="e">
        <f>BR21-#REF!</f>
        <v>#REF!</v>
      </c>
      <c r="BS62" s="38" t="e">
        <f>BS21-#REF!</f>
        <v>#REF!</v>
      </c>
      <c r="BT62" s="38" t="e">
        <f>BT21-#REF!</f>
        <v>#REF!</v>
      </c>
      <c r="BU62" s="38" t="e">
        <f>BU21-#REF!</f>
        <v>#REF!</v>
      </c>
    </row>
    <row r="63" spans="4:113" hidden="1" x14ac:dyDescent="0.3">
      <c r="M63" s="38">
        <f>M22-BZ22</f>
        <v>0</v>
      </c>
      <c r="N63" s="38">
        <f>N22-CA22</f>
        <v>0</v>
      </c>
      <c r="O63" s="38">
        <f>O22-CB22</f>
        <v>0</v>
      </c>
      <c r="P63" s="38">
        <f>P22-CC22</f>
        <v>0</v>
      </c>
      <c r="Q63" s="38">
        <f>Q22-CD22</f>
        <v>0</v>
      </c>
      <c r="R63" s="38">
        <f>R22-CE22</f>
        <v>0</v>
      </c>
      <c r="S63" s="38">
        <f>S22-CF22</f>
        <v>0</v>
      </c>
      <c r="T63" s="38">
        <f>T22-CG22</f>
        <v>0</v>
      </c>
      <c r="U63" s="38">
        <f>U22-CH22</f>
        <v>0</v>
      </c>
      <c r="V63" s="38">
        <f>V22-CI22</f>
        <v>0</v>
      </c>
      <c r="W63" s="38">
        <f>W22-CJ22</f>
        <v>0</v>
      </c>
      <c r="X63" s="38">
        <f>X22-CK22</f>
        <v>0</v>
      </c>
      <c r="Y63" s="38">
        <f>Y22-CL22</f>
        <v>0</v>
      </c>
      <c r="Z63" s="38">
        <f>Z22-CM22</f>
        <v>0</v>
      </c>
      <c r="AA63" s="38">
        <f>AA22-CN22</f>
        <v>0</v>
      </c>
      <c r="AB63" s="38">
        <f>AB22-CO22</f>
        <v>0</v>
      </c>
      <c r="AC63" s="38">
        <f>AC22-CP22</f>
        <v>0</v>
      </c>
      <c r="AD63" s="38">
        <f>AD22-CQ22</f>
        <v>0</v>
      </c>
      <c r="AE63" s="38">
        <f>AE22-CR22</f>
        <v>0</v>
      </c>
      <c r="AF63" s="38">
        <f>AF22-CS22</f>
        <v>0</v>
      </c>
      <c r="AG63" s="38">
        <f>AG22-CT22</f>
        <v>0</v>
      </c>
      <c r="AH63" s="38">
        <f>AH22-CU22</f>
        <v>0</v>
      </c>
      <c r="AI63" s="38">
        <f>AI22-CV22</f>
        <v>0</v>
      </c>
      <c r="AJ63" s="38">
        <f>AJ22-CW22</f>
        <v>0</v>
      </c>
      <c r="AK63" s="38">
        <f>AK22-CX22</f>
        <v>0</v>
      </c>
      <c r="AL63" s="38">
        <f>AL22-CY22</f>
        <v>0</v>
      </c>
      <c r="AM63" s="38">
        <f>AM22-CZ22</f>
        <v>0</v>
      </c>
      <c r="AN63" s="38">
        <f>AN22-DA22</f>
        <v>0</v>
      </c>
      <c r="AO63" s="38">
        <f>AO22-DB22</f>
        <v>0</v>
      </c>
      <c r="AP63" s="38">
        <f>AP22-DC22</f>
        <v>0</v>
      </c>
      <c r="AQ63" s="38">
        <f>AQ22-DD22</f>
        <v>0</v>
      </c>
      <c r="AR63" s="38">
        <f>AR22-DE22</f>
        <v>0</v>
      </c>
      <c r="AS63" s="38">
        <f>AS22-DF22</f>
        <v>0</v>
      </c>
      <c r="AT63" s="38">
        <f>AT22-DG22</f>
        <v>0</v>
      </c>
      <c r="AU63" s="38">
        <f>AU22-DH22</f>
        <v>0</v>
      </c>
      <c r="AV63" s="38">
        <f>AV22-DI22</f>
        <v>0</v>
      </c>
      <c r="AW63" s="38">
        <f>AW22-DJ22</f>
        <v>0</v>
      </c>
      <c r="AX63" s="38">
        <f>AX22-DK22</f>
        <v>0</v>
      </c>
      <c r="AY63" s="38">
        <f>AY22-DL22</f>
        <v>0</v>
      </c>
      <c r="AZ63" s="38">
        <f>AZ22-DM22</f>
        <v>0</v>
      </c>
      <c r="BA63" s="38">
        <f>BA22-DN22</f>
        <v>0</v>
      </c>
      <c r="BB63" s="38">
        <f>BB22-DO22</f>
        <v>0</v>
      </c>
      <c r="BC63" s="38">
        <f>BC22-DP22</f>
        <v>0</v>
      </c>
      <c r="BD63" s="38">
        <f>BD22-DQ22</f>
        <v>0</v>
      </c>
      <c r="BE63" s="38">
        <f>BE22-DR22</f>
        <v>0</v>
      </c>
      <c r="BF63" s="38">
        <f>BF22-DS22</f>
        <v>0</v>
      </c>
      <c r="BG63" s="38">
        <f>BG22-DT22</f>
        <v>0</v>
      </c>
      <c r="BH63" s="38">
        <f>BH22-DU22</f>
        <v>0</v>
      </c>
      <c r="BI63" s="38">
        <f>BI22-DV22</f>
        <v>0</v>
      </c>
      <c r="BJ63" s="38">
        <f>BJ22-DW22</f>
        <v>0</v>
      </c>
      <c r="BK63" s="38">
        <f>BK22-DX22</f>
        <v>0</v>
      </c>
      <c r="BL63" s="38">
        <f>BL22-DY22</f>
        <v>0</v>
      </c>
      <c r="BM63" s="38">
        <f>BM22-DZ22</f>
        <v>0</v>
      </c>
      <c r="BN63" s="38" t="e">
        <f>BN22-#REF!</f>
        <v>#REF!</v>
      </c>
      <c r="BO63" s="38" t="e">
        <f>BO22-#REF!</f>
        <v>#REF!</v>
      </c>
      <c r="BP63" s="38" t="e">
        <f>BP22-#REF!</f>
        <v>#REF!</v>
      </c>
      <c r="BQ63" s="38" t="e">
        <f>BQ22-#REF!</f>
        <v>#REF!</v>
      </c>
      <c r="BR63" s="38" t="e">
        <f>BR22-#REF!</f>
        <v>#REF!</v>
      </c>
      <c r="BS63" s="38" t="e">
        <f>BS22-#REF!</f>
        <v>#REF!</v>
      </c>
      <c r="BT63" s="38" t="e">
        <f>BT22-#REF!</f>
        <v>#REF!</v>
      </c>
      <c r="BU63" s="38" t="e">
        <f>BU22-#REF!</f>
        <v>#REF!</v>
      </c>
    </row>
    <row r="64" spans="4:113" hidden="1" x14ac:dyDescent="0.3">
      <c r="M64" s="38">
        <f>M23-BZ23</f>
        <v>52039064</v>
      </c>
      <c r="N64" s="38">
        <f>N23-CA23</f>
        <v>0</v>
      </c>
      <c r="O64" s="38">
        <f>O23-CB23</f>
        <v>0</v>
      </c>
      <c r="P64" s="38">
        <f>P23-CC23</f>
        <v>0</v>
      </c>
      <c r="Q64" s="38">
        <f>Q23-CD23</f>
        <v>0</v>
      </c>
      <c r="R64" s="38">
        <f>R23-CE23</f>
        <v>-2187194</v>
      </c>
      <c r="S64" s="38">
        <f>S23-CF23</f>
        <v>0</v>
      </c>
      <c r="T64" s="38">
        <f>T23-CG23</f>
        <v>0</v>
      </c>
      <c r="U64" s="38">
        <f>U23-CH23</f>
        <v>0</v>
      </c>
      <c r="V64" s="38">
        <f>V23-CI23</f>
        <v>0</v>
      </c>
      <c r="W64" s="38">
        <f>W23-CJ23</f>
        <v>781455</v>
      </c>
      <c r="X64" s="38">
        <f>X23-CK23</f>
        <v>0</v>
      </c>
      <c r="Y64" s="38">
        <f>Y23-CL23</f>
        <v>0</v>
      </c>
      <c r="Z64" s="38">
        <f>Z23-CM23</f>
        <v>0</v>
      </c>
      <c r="AA64" s="38">
        <f>AA23-CN23</f>
        <v>0</v>
      </c>
      <c r="AB64" s="38">
        <f>AB23-CO23</f>
        <v>-34063984</v>
      </c>
      <c r="AC64" s="38">
        <f>AC23-CP23</f>
        <v>0</v>
      </c>
      <c r="AD64" s="38">
        <f>AD23-CQ23</f>
        <v>0</v>
      </c>
      <c r="AE64" s="38">
        <f>AE23-CR23</f>
        <v>0</v>
      </c>
      <c r="AF64" s="38">
        <f>AF23-CS23</f>
        <v>0</v>
      </c>
      <c r="AG64" s="38">
        <f>AG23-CT23</f>
        <v>35089336</v>
      </c>
      <c r="AH64" s="38">
        <f>AH23-CU23</f>
        <v>0</v>
      </c>
      <c r="AI64" s="38">
        <f>AI23-CV23</f>
        <v>0</v>
      </c>
      <c r="AJ64" s="38">
        <f>AJ23-CW23</f>
        <v>0</v>
      </c>
      <c r="AK64" s="38">
        <f>AK23-CX23</f>
        <v>0</v>
      </c>
      <c r="AL64" s="38">
        <f>AL23-CY23</f>
        <v>-27389665</v>
      </c>
      <c r="AM64" s="38">
        <f>AM23-CZ23</f>
        <v>0</v>
      </c>
      <c r="AN64" s="38">
        <f>AN23-DA23</f>
        <v>0</v>
      </c>
      <c r="AO64" s="38">
        <f>AO23-DB23</f>
        <v>0</v>
      </c>
      <c r="AP64" s="38">
        <f>AP23-DC23</f>
        <v>0</v>
      </c>
      <c r="AQ64" s="38">
        <f>AQ23-DD23</f>
        <v>15349073</v>
      </c>
      <c r="AR64" s="38">
        <f>AR23-DE23</f>
        <v>0</v>
      </c>
      <c r="AS64" s="38">
        <f>AS23-DF23</f>
        <v>0</v>
      </c>
      <c r="AT64" s="38">
        <f>AT23-DG23</f>
        <v>0</v>
      </c>
      <c r="AU64" s="38">
        <f>AU23-DH23</f>
        <v>0</v>
      </c>
      <c r="AV64" s="38">
        <f>AV23-DI23</f>
        <v>-5738310</v>
      </c>
      <c r="AW64" s="38">
        <f>AW23-DJ23</f>
        <v>0</v>
      </c>
      <c r="AX64" s="38">
        <f>AX23-DK23</f>
        <v>0</v>
      </c>
      <c r="AY64" s="38">
        <f>AY23-DL23</f>
        <v>0</v>
      </c>
      <c r="AZ64" s="38">
        <f>AZ23-DM23</f>
        <v>0</v>
      </c>
      <c r="BA64" s="38">
        <f>BA23-DN23</f>
        <v>-9545140</v>
      </c>
      <c r="BB64" s="38">
        <f>BB23-DO23</f>
        <v>0</v>
      </c>
      <c r="BC64" s="38">
        <f>BC23-DP23</f>
        <v>0</v>
      </c>
      <c r="BD64" s="38">
        <f>BD23-DQ23</f>
        <v>0</v>
      </c>
      <c r="BE64" s="38">
        <f>BE23-DR23</f>
        <v>0</v>
      </c>
      <c r="BF64" s="38">
        <f>BF23-DS23</f>
        <v>59473428</v>
      </c>
      <c r="BG64" s="38">
        <f>BG23-DT23</f>
        <v>0</v>
      </c>
      <c r="BH64" s="38">
        <f>BH23-DU23</f>
        <v>0</v>
      </c>
      <c r="BI64" s="38">
        <f>BI23-DV23</f>
        <v>0</v>
      </c>
      <c r="BJ64" s="38">
        <f>BJ23-DW23</f>
        <v>0</v>
      </c>
      <c r="BK64" s="38">
        <f>BK23-DX23</f>
        <v>-6104015</v>
      </c>
      <c r="BL64" s="38">
        <f>BL23-DY23</f>
        <v>0</v>
      </c>
      <c r="BM64" s="38">
        <f>BM23-DZ23</f>
        <v>0</v>
      </c>
      <c r="BN64" s="38" t="e">
        <f>BN23-#REF!</f>
        <v>#REF!</v>
      </c>
      <c r="BO64" s="38" t="e">
        <f>BO23-#REF!</f>
        <v>#REF!</v>
      </c>
      <c r="BP64" s="38" t="e">
        <f>BP23-#REF!</f>
        <v>#REF!</v>
      </c>
      <c r="BQ64" s="38" t="e">
        <f>BQ23-#REF!</f>
        <v>#REF!</v>
      </c>
      <c r="BR64" s="38" t="e">
        <f>BR23-#REF!</f>
        <v>#REF!</v>
      </c>
      <c r="BS64" s="38" t="e">
        <f>BS23-#REF!</f>
        <v>#REF!</v>
      </c>
      <c r="BT64" s="38" t="e">
        <f>BT23-#REF!</f>
        <v>#REF!</v>
      </c>
      <c r="BU64" s="38" t="e">
        <f>BU23-#REF!</f>
        <v>#REF!</v>
      </c>
    </row>
    <row r="65" spans="13:73" hidden="1" x14ac:dyDescent="0.3">
      <c r="M65" s="38">
        <f>M24-BZ24</f>
        <v>0</v>
      </c>
      <c r="N65" s="38">
        <f>N24-CA24</f>
        <v>0</v>
      </c>
      <c r="O65" s="38">
        <f>O24-CB24</f>
        <v>0</v>
      </c>
      <c r="P65" s="38">
        <f>P24-CC24</f>
        <v>0</v>
      </c>
      <c r="Q65" s="38">
        <f>Q24-CD24</f>
        <v>0</v>
      </c>
      <c r="R65" s="38">
        <f>R24-CE24</f>
        <v>0</v>
      </c>
      <c r="S65" s="38">
        <f>S24-CF24</f>
        <v>0</v>
      </c>
      <c r="T65" s="38">
        <f>T24-CG24</f>
        <v>0</v>
      </c>
      <c r="U65" s="38">
        <f>U24-CH24</f>
        <v>0</v>
      </c>
      <c r="V65" s="38">
        <f>V24-CI24</f>
        <v>0</v>
      </c>
      <c r="W65" s="38">
        <f>W24-CJ24</f>
        <v>0</v>
      </c>
      <c r="X65" s="38">
        <f>X24-CK24</f>
        <v>0</v>
      </c>
      <c r="Y65" s="38">
        <f>Y24-CL24</f>
        <v>0</v>
      </c>
      <c r="Z65" s="38">
        <f>Z24-CM24</f>
        <v>0</v>
      </c>
      <c r="AA65" s="38">
        <f>AA24-CN24</f>
        <v>0</v>
      </c>
      <c r="AB65" s="38">
        <f>AB24-CO24</f>
        <v>0</v>
      </c>
      <c r="AC65" s="38">
        <f>AC24-CP24</f>
        <v>0</v>
      </c>
      <c r="AD65" s="38">
        <f>AD24-CQ24</f>
        <v>0</v>
      </c>
      <c r="AE65" s="38">
        <f>AE24-CR24</f>
        <v>0</v>
      </c>
      <c r="AF65" s="38">
        <f>AF24-CS24</f>
        <v>0</v>
      </c>
      <c r="AG65" s="38">
        <f>AG24-CT24</f>
        <v>0</v>
      </c>
      <c r="AH65" s="38">
        <f>AH24-CU24</f>
        <v>0</v>
      </c>
      <c r="AI65" s="38">
        <f>AI24-CV24</f>
        <v>0</v>
      </c>
      <c r="AJ65" s="38">
        <f>AJ24-CW24</f>
        <v>0</v>
      </c>
      <c r="AK65" s="38">
        <f>AK24-CX24</f>
        <v>0</v>
      </c>
      <c r="AL65" s="38">
        <f>AL24-CY24</f>
        <v>0</v>
      </c>
      <c r="AM65" s="38">
        <f>AM24-CZ24</f>
        <v>0</v>
      </c>
      <c r="AN65" s="38">
        <f>AN24-DA24</f>
        <v>0</v>
      </c>
      <c r="AO65" s="38">
        <f>AO24-DB24</f>
        <v>0</v>
      </c>
      <c r="AP65" s="38">
        <f>AP24-DC24</f>
        <v>0</v>
      </c>
      <c r="AQ65" s="38">
        <f>AQ24-DD24</f>
        <v>0</v>
      </c>
      <c r="AR65" s="38">
        <f>AR24-DE24</f>
        <v>0</v>
      </c>
      <c r="AS65" s="38">
        <f>AS24-DF24</f>
        <v>0</v>
      </c>
      <c r="AT65" s="38">
        <f>AT24-DG24</f>
        <v>0</v>
      </c>
      <c r="AU65" s="38">
        <f>AU24-DH24</f>
        <v>0</v>
      </c>
      <c r="AV65" s="38">
        <f>AV24-DI24</f>
        <v>0</v>
      </c>
      <c r="AW65" s="38">
        <f>AW24-DJ24</f>
        <v>0</v>
      </c>
      <c r="AX65" s="38">
        <f>AX24-DK24</f>
        <v>0</v>
      </c>
      <c r="AY65" s="38">
        <f>AY24-DL24</f>
        <v>0</v>
      </c>
      <c r="AZ65" s="38">
        <f>AZ24-DM24</f>
        <v>0</v>
      </c>
      <c r="BA65" s="38">
        <f>BA24-DN24</f>
        <v>0</v>
      </c>
      <c r="BB65" s="38">
        <f>BB24-DO24</f>
        <v>0</v>
      </c>
      <c r="BC65" s="38">
        <f>BC24-DP24</f>
        <v>0</v>
      </c>
      <c r="BD65" s="38">
        <f>BD24-DQ24</f>
        <v>0</v>
      </c>
      <c r="BE65" s="38">
        <f>BE24-DR24</f>
        <v>0</v>
      </c>
      <c r="BF65" s="38">
        <f>BF24-DS24</f>
        <v>0</v>
      </c>
      <c r="BG65" s="38">
        <f>BG24-DT24</f>
        <v>0</v>
      </c>
      <c r="BH65" s="38">
        <f>BH24-DU24</f>
        <v>0</v>
      </c>
      <c r="BI65" s="38">
        <f>BI24-DV24</f>
        <v>0</v>
      </c>
      <c r="BJ65" s="38">
        <f>BJ24-DW24</f>
        <v>0</v>
      </c>
      <c r="BK65" s="38">
        <f>BK24-DX24</f>
        <v>0</v>
      </c>
      <c r="BL65" s="38">
        <f>BL24-DY24</f>
        <v>0</v>
      </c>
      <c r="BM65" s="38">
        <f>BM24-DZ24</f>
        <v>0</v>
      </c>
      <c r="BN65" s="38" t="e">
        <f>BN24-#REF!</f>
        <v>#REF!</v>
      </c>
      <c r="BO65" s="38" t="e">
        <f>BO24-#REF!</f>
        <v>#REF!</v>
      </c>
      <c r="BP65" s="38" t="e">
        <f>BP24-#REF!</f>
        <v>#REF!</v>
      </c>
      <c r="BQ65" s="38" t="e">
        <f>BQ24-#REF!</f>
        <v>#REF!</v>
      </c>
      <c r="BR65" s="38" t="e">
        <f>BR24-#REF!</f>
        <v>#REF!</v>
      </c>
      <c r="BS65" s="38" t="e">
        <f>BS24-#REF!</f>
        <v>#REF!</v>
      </c>
      <c r="BT65" s="38" t="e">
        <f>BT24-#REF!</f>
        <v>#REF!</v>
      </c>
      <c r="BU65" s="38" t="e">
        <f>BU24-#REF!</f>
        <v>#REF!</v>
      </c>
    </row>
    <row r="66" spans="13:73" hidden="1" x14ac:dyDescent="0.3">
      <c r="M66" s="38">
        <f>M25-BZ25</f>
        <v>0</v>
      </c>
      <c r="N66" s="38">
        <f>N25-CA25</f>
        <v>0</v>
      </c>
      <c r="O66" s="38">
        <f>O25-CB25</f>
        <v>0</v>
      </c>
      <c r="P66" s="38">
        <f>P25-CC25</f>
        <v>0</v>
      </c>
      <c r="Q66" s="38">
        <f>Q25-CD25</f>
        <v>0</v>
      </c>
      <c r="R66" s="38">
        <f>R25-CE25</f>
        <v>0</v>
      </c>
      <c r="S66" s="38">
        <f>S25-CF25</f>
        <v>0</v>
      </c>
      <c r="T66" s="38">
        <f>T25-CG25</f>
        <v>0</v>
      </c>
      <c r="U66" s="38">
        <f>U25-CH25</f>
        <v>0</v>
      </c>
      <c r="V66" s="38">
        <f>V25-CI25</f>
        <v>0</v>
      </c>
      <c r="W66" s="38">
        <f>W25-CJ25</f>
        <v>0</v>
      </c>
      <c r="X66" s="38">
        <f>X25-CK25</f>
        <v>0</v>
      </c>
      <c r="Y66" s="38">
        <f>Y25-CL25</f>
        <v>0</v>
      </c>
      <c r="Z66" s="38">
        <f>Z25-CM25</f>
        <v>0</v>
      </c>
      <c r="AA66" s="38">
        <f>AA25-CN25</f>
        <v>0</v>
      </c>
      <c r="AB66" s="38">
        <f>AB25-CO25</f>
        <v>0</v>
      </c>
      <c r="AC66" s="38">
        <f>AC25-CP25</f>
        <v>0</v>
      </c>
      <c r="AD66" s="38">
        <f>AD25-CQ25</f>
        <v>0</v>
      </c>
      <c r="AE66" s="38">
        <f>AE25-CR25</f>
        <v>0</v>
      </c>
      <c r="AF66" s="38">
        <f>AF25-CS25</f>
        <v>0</v>
      </c>
      <c r="AG66" s="38">
        <f>AG25-CT25</f>
        <v>0</v>
      </c>
      <c r="AH66" s="38">
        <f>AH25-CU25</f>
        <v>0</v>
      </c>
      <c r="AI66" s="38">
        <f>AI25-CV25</f>
        <v>0</v>
      </c>
      <c r="AJ66" s="38">
        <f>AJ25-CW25</f>
        <v>0</v>
      </c>
      <c r="AK66" s="38">
        <f>AK25-CX25</f>
        <v>0</v>
      </c>
      <c r="AL66" s="38">
        <f>AL25-CY25</f>
        <v>0</v>
      </c>
      <c r="AM66" s="38">
        <f>AM25-CZ25</f>
        <v>0</v>
      </c>
      <c r="AN66" s="38">
        <f>AN25-DA25</f>
        <v>0</v>
      </c>
      <c r="AO66" s="38">
        <f>AO25-DB25</f>
        <v>0</v>
      </c>
      <c r="AP66" s="38">
        <f>AP25-DC25</f>
        <v>0</v>
      </c>
      <c r="AQ66" s="38">
        <f>AQ25-DD25</f>
        <v>0</v>
      </c>
      <c r="AR66" s="38">
        <f>AR25-DE25</f>
        <v>0</v>
      </c>
      <c r="AS66" s="38">
        <f>AS25-DF25</f>
        <v>0</v>
      </c>
      <c r="AT66" s="38">
        <f>AT25-DG25</f>
        <v>0</v>
      </c>
      <c r="AU66" s="38">
        <f>AU25-DH25</f>
        <v>0</v>
      </c>
      <c r="AV66" s="38">
        <f>AV25-DI25</f>
        <v>0</v>
      </c>
      <c r="AW66" s="38">
        <f>AW25-DJ25</f>
        <v>0</v>
      </c>
      <c r="AX66" s="38">
        <f>AX25-DK25</f>
        <v>0</v>
      </c>
      <c r="AY66" s="38">
        <f>AY25-DL25</f>
        <v>0</v>
      </c>
      <c r="AZ66" s="38">
        <f>AZ25-DM25</f>
        <v>0</v>
      </c>
      <c r="BA66" s="38">
        <f>BA25-DN25</f>
        <v>0</v>
      </c>
      <c r="BB66" s="38">
        <f>BB25-DO25</f>
        <v>0</v>
      </c>
      <c r="BC66" s="38">
        <f>BC25-DP25</f>
        <v>0</v>
      </c>
      <c r="BD66" s="38">
        <f>BD25-DQ25</f>
        <v>0</v>
      </c>
      <c r="BE66" s="38">
        <f>BE25-DR25</f>
        <v>0</v>
      </c>
      <c r="BF66" s="38">
        <f>BF25-DS25</f>
        <v>0</v>
      </c>
      <c r="BG66" s="38">
        <f>BG25-DT25</f>
        <v>0</v>
      </c>
      <c r="BH66" s="38">
        <f>BH25-DU25</f>
        <v>0</v>
      </c>
      <c r="BI66" s="38">
        <f>BI25-DV25</f>
        <v>0</v>
      </c>
      <c r="BJ66" s="38">
        <f>BJ25-DW25</f>
        <v>0</v>
      </c>
      <c r="BK66" s="38">
        <f>BK25-DX25</f>
        <v>0</v>
      </c>
      <c r="BL66" s="38">
        <f>BL25-DY25</f>
        <v>0</v>
      </c>
      <c r="BM66" s="38">
        <f>BM25-DZ25</f>
        <v>0</v>
      </c>
      <c r="BN66" s="38" t="e">
        <f>BN25-#REF!</f>
        <v>#REF!</v>
      </c>
      <c r="BO66" s="38" t="e">
        <f>BO25-#REF!</f>
        <v>#REF!</v>
      </c>
      <c r="BP66" s="38" t="e">
        <f>BP25-#REF!</f>
        <v>#REF!</v>
      </c>
      <c r="BQ66" s="38" t="e">
        <f>BQ25-#REF!</f>
        <v>#REF!</v>
      </c>
      <c r="BR66" s="38" t="e">
        <f>BR25-#REF!</f>
        <v>#REF!</v>
      </c>
      <c r="BS66" s="38" t="e">
        <f>BS25-#REF!</f>
        <v>#REF!</v>
      </c>
      <c r="BT66" s="38" t="e">
        <f>BT25-#REF!</f>
        <v>#REF!</v>
      </c>
      <c r="BU66" s="38" t="e">
        <f>BU25-#REF!</f>
        <v>#REF!</v>
      </c>
    </row>
    <row r="67" spans="13:73" hidden="1" x14ac:dyDescent="0.3">
      <c r="M67" s="38">
        <f>M26-BZ26</f>
        <v>0</v>
      </c>
      <c r="N67" s="38">
        <f>N26-CA26</f>
        <v>0</v>
      </c>
      <c r="O67" s="38">
        <f>O26-CB26</f>
        <v>0</v>
      </c>
      <c r="P67" s="38">
        <f>P26-CC26</f>
        <v>0</v>
      </c>
      <c r="Q67" s="38">
        <f>Q26-CD26</f>
        <v>0</v>
      </c>
      <c r="R67" s="38">
        <f>R26-CE26</f>
        <v>0</v>
      </c>
      <c r="S67" s="38">
        <f>S26-CF26</f>
        <v>0</v>
      </c>
      <c r="T67" s="38">
        <f>T26-CG26</f>
        <v>0</v>
      </c>
      <c r="U67" s="38">
        <f>U26-CH26</f>
        <v>0</v>
      </c>
      <c r="V67" s="38">
        <f>V26-CI26</f>
        <v>0</v>
      </c>
      <c r="W67" s="38">
        <f>W26-CJ26</f>
        <v>0</v>
      </c>
      <c r="X67" s="38">
        <f>X26-CK26</f>
        <v>0</v>
      </c>
      <c r="Y67" s="38">
        <f>Y26-CL26</f>
        <v>0</v>
      </c>
      <c r="Z67" s="38">
        <f>Z26-CM26</f>
        <v>0</v>
      </c>
      <c r="AA67" s="38">
        <f>AA26-CN26</f>
        <v>0</v>
      </c>
      <c r="AB67" s="38">
        <f>AB26-CO26</f>
        <v>0</v>
      </c>
      <c r="AC67" s="38">
        <f>AC26-CP26</f>
        <v>0</v>
      </c>
      <c r="AD67" s="38">
        <f>AD26-CQ26</f>
        <v>0</v>
      </c>
      <c r="AE67" s="38">
        <f>AE26-CR26</f>
        <v>0</v>
      </c>
      <c r="AF67" s="38">
        <f>AF26-CS26</f>
        <v>0</v>
      </c>
      <c r="AG67" s="38">
        <f>AG26-CT26</f>
        <v>0</v>
      </c>
      <c r="AH67" s="38">
        <f>AH26-CU26</f>
        <v>0</v>
      </c>
      <c r="AI67" s="38">
        <f>AI26-CV26</f>
        <v>0</v>
      </c>
      <c r="AJ67" s="38">
        <f>AJ26-CW26</f>
        <v>0</v>
      </c>
      <c r="AK67" s="38">
        <f>AK26-CX26</f>
        <v>0</v>
      </c>
      <c r="AL67" s="38">
        <f>AL26-CY26</f>
        <v>0</v>
      </c>
      <c r="AM67" s="38">
        <f>AM26-CZ26</f>
        <v>0</v>
      </c>
      <c r="AN67" s="38">
        <f>AN26-DA26</f>
        <v>0</v>
      </c>
      <c r="AO67" s="38">
        <f>AO26-DB26</f>
        <v>0</v>
      </c>
      <c r="AP67" s="38">
        <f>AP26-DC26</f>
        <v>0</v>
      </c>
      <c r="AQ67" s="38">
        <f>AQ26-DD26</f>
        <v>0</v>
      </c>
      <c r="AR67" s="38">
        <f>AR26-DE26</f>
        <v>0</v>
      </c>
      <c r="AS67" s="38">
        <f>AS26-DF26</f>
        <v>0</v>
      </c>
      <c r="AT67" s="38">
        <f>AT26-DG26</f>
        <v>0</v>
      </c>
      <c r="AU67" s="38">
        <f>AU26-DH26</f>
        <v>0</v>
      </c>
      <c r="AV67" s="38">
        <f>AV26-DI26</f>
        <v>0</v>
      </c>
      <c r="AW67" s="38">
        <f>AW26-DJ26</f>
        <v>0</v>
      </c>
      <c r="AX67" s="38">
        <f>AX26-DK26</f>
        <v>0</v>
      </c>
      <c r="AY67" s="38">
        <f>AY26-DL26</f>
        <v>0</v>
      </c>
      <c r="AZ67" s="38">
        <f>AZ26-DM26</f>
        <v>0</v>
      </c>
      <c r="BA67" s="38">
        <f>BA26-DN26</f>
        <v>0</v>
      </c>
      <c r="BB67" s="38">
        <f>BB26-DO26</f>
        <v>0</v>
      </c>
      <c r="BC67" s="38">
        <f>BC26-DP26</f>
        <v>0</v>
      </c>
      <c r="BD67" s="38">
        <f>BD26-DQ26</f>
        <v>0</v>
      </c>
      <c r="BE67" s="38">
        <f>BE26-DR26</f>
        <v>0</v>
      </c>
      <c r="BF67" s="38">
        <f>BF26-DS26</f>
        <v>0</v>
      </c>
      <c r="BG67" s="38">
        <f>BG26-DT26</f>
        <v>0</v>
      </c>
      <c r="BH67" s="38">
        <f>BH26-DU26</f>
        <v>0</v>
      </c>
      <c r="BI67" s="38">
        <f>BI26-DV26</f>
        <v>0</v>
      </c>
      <c r="BJ67" s="38">
        <f>BJ26-DW26</f>
        <v>0</v>
      </c>
      <c r="BK67" s="38">
        <f>BK26-DX26</f>
        <v>0</v>
      </c>
      <c r="BL67" s="38">
        <f>BL26-DY26</f>
        <v>0</v>
      </c>
      <c r="BM67" s="38">
        <f>BM26-DZ26</f>
        <v>0</v>
      </c>
      <c r="BN67" s="38" t="e">
        <f>BN26-#REF!</f>
        <v>#REF!</v>
      </c>
      <c r="BO67" s="38" t="e">
        <f>BO26-#REF!</f>
        <v>#REF!</v>
      </c>
      <c r="BP67" s="38" t="e">
        <f>BP26-#REF!</f>
        <v>#REF!</v>
      </c>
      <c r="BQ67" s="38" t="e">
        <f>BQ26-#REF!</f>
        <v>#REF!</v>
      </c>
      <c r="BR67" s="38" t="e">
        <f>BR26-#REF!</f>
        <v>#REF!</v>
      </c>
      <c r="BS67" s="38" t="e">
        <f>BS26-#REF!</f>
        <v>#REF!</v>
      </c>
      <c r="BT67" s="38" t="e">
        <f>BT26-#REF!</f>
        <v>#REF!</v>
      </c>
      <c r="BU67" s="38" t="e">
        <f>BU26-#REF!</f>
        <v>#REF!</v>
      </c>
    </row>
    <row r="68" spans="13:73" hidden="1" x14ac:dyDescent="0.3">
      <c r="M68" s="38">
        <f>M27-BZ27</f>
        <v>-1285536</v>
      </c>
      <c r="N68" s="38">
        <f>N27-CA27</f>
        <v>0</v>
      </c>
      <c r="O68" s="38">
        <f>O27-CB27</f>
        <v>0</v>
      </c>
      <c r="P68" s="38">
        <f>P27-CC27</f>
        <v>0</v>
      </c>
      <c r="Q68" s="38">
        <f>Q27-CD27</f>
        <v>0</v>
      </c>
      <c r="R68" s="38">
        <f>R27-CE27</f>
        <v>871744.25600000005</v>
      </c>
      <c r="S68" s="38">
        <f>S27-CF27</f>
        <v>0</v>
      </c>
      <c r="T68" s="38">
        <f>T27-CG27</f>
        <v>0</v>
      </c>
      <c r="U68" s="38">
        <f>U27-CH27</f>
        <v>0</v>
      </c>
      <c r="V68" s="38">
        <f>V27-CI27</f>
        <v>0</v>
      </c>
      <c r="W68" s="38">
        <f>W27-CJ27</f>
        <v>-12272</v>
      </c>
      <c r="X68" s="38">
        <f>X27-CK27</f>
        <v>0</v>
      </c>
      <c r="Y68" s="38">
        <f>Y27-CL27</f>
        <v>0</v>
      </c>
      <c r="Z68" s="38">
        <f>Z27-CM27</f>
        <v>0</v>
      </c>
      <c r="AA68" s="38">
        <f>AA27-CN27</f>
        <v>0</v>
      </c>
      <c r="AB68" s="38">
        <f>AB27-CO27</f>
        <v>126224</v>
      </c>
      <c r="AC68" s="38">
        <f>AC27-CP27</f>
        <v>0</v>
      </c>
      <c r="AD68" s="38">
        <f>AD27-CQ27</f>
        <v>0</v>
      </c>
      <c r="AE68" s="38">
        <f>AE27-CR27</f>
        <v>0</v>
      </c>
      <c r="AF68" s="38">
        <f>AF27-CS27</f>
        <v>0</v>
      </c>
      <c r="AG68" s="38">
        <f>AG27-CT27</f>
        <v>-1736919</v>
      </c>
      <c r="AH68" s="38">
        <f>AH27-CU27</f>
        <v>0</v>
      </c>
      <c r="AI68" s="38">
        <f>AI27-CV27</f>
        <v>0</v>
      </c>
      <c r="AJ68" s="38">
        <f>AJ27-CW27</f>
        <v>0</v>
      </c>
      <c r="AK68" s="38">
        <f>AK27-CX27</f>
        <v>0</v>
      </c>
      <c r="AL68" s="38">
        <f>AL27-CY27</f>
        <v>-242093</v>
      </c>
      <c r="AM68" s="38">
        <f>AM27-CZ27</f>
        <v>0</v>
      </c>
      <c r="AN68" s="38">
        <f>AN27-DA27</f>
        <v>0</v>
      </c>
      <c r="AO68" s="38">
        <f>AO27-DB27</f>
        <v>0</v>
      </c>
      <c r="AP68" s="38">
        <f>AP27-DC27</f>
        <v>0</v>
      </c>
      <c r="AQ68" s="38">
        <f>AQ27-DD27</f>
        <v>-430704</v>
      </c>
      <c r="AR68" s="38">
        <f>AR27-DE27</f>
        <v>0</v>
      </c>
      <c r="AS68" s="38">
        <f>AS27-DF27</f>
        <v>0</v>
      </c>
      <c r="AT68" s="38">
        <f>AT27-DG27</f>
        <v>0</v>
      </c>
      <c r="AU68" s="38">
        <f>AU27-DH27</f>
        <v>0</v>
      </c>
      <c r="AV68" s="38">
        <f>AV27-DI27</f>
        <v>1090093</v>
      </c>
      <c r="AW68" s="38">
        <f>AW27-DJ27</f>
        <v>0</v>
      </c>
      <c r="AX68" s="38">
        <f>AX27-DK27</f>
        <v>0</v>
      </c>
      <c r="AY68" s="38">
        <f>AY27-DL27</f>
        <v>0</v>
      </c>
      <c r="AZ68" s="38">
        <f>AZ27-DM27</f>
        <v>0</v>
      </c>
      <c r="BA68" s="38">
        <f>BA27-DN27</f>
        <v>615637</v>
      </c>
      <c r="BB68" s="38">
        <f>BB27-DO27</f>
        <v>0</v>
      </c>
      <c r="BC68" s="38">
        <f>BC27-DP27</f>
        <v>0</v>
      </c>
      <c r="BD68" s="38">
        <f>BD27-DQ27</f>
        <v>0</v>
      </c>
      <c r="BE68" s="38">
        <f>BE27-DR27</f>
        <v>0</v>
      </c>
      <c r="BF68" s="38">
        <f>BF27-DS27</f>
        <v>47880</v>
      </c>
      <c r="BG68" s="38">
        <f>BG27-DT27</f>
        <v>0</v>
      </c>
      <c r="BH68" s="38">
        <f>BH27-DU27</f>
        <v>0</v>
      </c>
      <c r="BI68" s="38">
        <f>BI27-DV27</f>
        <v>0</v>
      </c>
      <c r="BJ68" s="38">
        <f>BJ27-DW27</f>
        <v>0</v>
      </c>
      <c r="BK68" s="38">
        <f>BK27-DX27</f>
        <v>662345</v>
      </c>
      <c r="BL68" s="38">
        <f>BL27-DY27</f>
        <v>0</v>
      </c>
      <c r="BM68" s="38">
        <f>BM27-DZ27</f>
        <v>0</v>
      </c>
      <c r="BN68" s="38" t="e">
        <f>BN27-#REF!</f>
        <v>#REF!</v>
      </c>
      <c r="BO68" s="38" t="e">
        <f>BO27-#REF!</f>
        <v>#REF!</v>
      </c>
      <c r="BP68" s="38" t="e">
        <f>BP27-#REF!</f>
        <v>#REF!</v>
      </c>
      <c r="BQ68" s="38" t="e">
        <f>BQ27-#REF!</f>
        <v>#REF!</v>
      </c>
      <c r="BR68" s="38" t="e">
        <f>BR27-#REF!</f>
        <v>#REF!</v>
      </c>
      <c r="BS68" s="38" t="e">
        <f>BS27-#REF!</f>
        <v>#REF!</v>
      </c>
      <c r="BT68" s="38" t="e">
        <f>BT27-#REF!</f>
        <v>#REF!</v>
      </c>
      <c r="BU68" s="38" t="e">
        <f>BU27-#REF!</f>
        <v>#REF!</v>
      </c>
    </row>
    <row r="69" spans="13:73" hidden="1" x14ac:dyDescent="0.3">
      <c r="M69" s="38">
        <f>M28-BZ28</f>
        <v>-1285536</v>
      </c>
      <c r="N69" s="38">
        <f>N28-CA28</f>
        <v>0</v>
      </c>
      <c r="O69" s="38">
        <f>O28-CB28</f>
        <v>0</v>
      </c>
      <c r="P69" s="38">
        <f>P28-CC28</f>
        <v>0</v>
      </c>
      <c r="Q69" s="38">
        <f>Q28-CD28</f>
        <v>0</v>
      </c>
      <c r="R69" s="38">
        <f>R28-CE28</f>
        <v>871744.25600000005</v>
      </c>
      <c r="S69" s="38">
        <f>S28-CF28</f>
        <v>0</v>
      </c>
      <c r="T69" s="38">
        <f>T28-CG28</f>
        <v>0</v>
      </c>
      <c r="U69" s="38">
        <f>U28-CH28</f>
        <v>0</v>
      </c>
      <c r="V69" s="38">
        <f>V28-CI28</f>
        <v>0</v>
      </c>
      <c r="W69" s="38">
        <f>W28-CJ28</f>
        <v>-12272</v>
      </c>
      <c r="X69" s="38">
        <f>X28-CK28</f>
        <v>0</v>
      </c>
      <c r="Y69" s="38">
        <f>Y28-CL28</f>
        <v>0</v>
      </c>
      <c r="Z69" s="38">
        <f>Z28-CM28</f>
        <v>0</v>
      </c>
      <c r="AA69" s="38">
        <f>AA28-CN28</f>
        <v>0</v>
      </c>
      <c r="AB69" s="38">
        <f>AB28-CO28</f>
        <v>126224</v>
      </c>
      <c r="AC69" s="38">
        <f>AC28-CP28</f>
        <v>0</v>
      </c>
      <c r="AD69" s="38">
        <f>AD28-CQ28</f>
        <v>0</v>
      </c>
      <c r="AE69" s="38">
        <f>AE28-CR28</f>
        <v>0</v>
      </c>
      <c r="AF69" s="38">
        <f>AF28-CS28</f>
        <v>0</v>
      </c>
      <c r="AG69" s="38">
        <f>AG28-CT28</f>
        <v>-1736919</v>
      </c>
      <c r="AH69" s="38">
        <f>AH28-CU28</f>
        <v>0</v>
      </c>
      <c r="AI69" s="38">
        <f>AI28-CV28</f>
        <v>0</v>
      </c>
      <c r="AJ69" s="38">
        <f>AJ28-CW28</f>
        <v>0</v>
      </c>
      <c r="AK69" s="38">
        <f>AK28-CX28</f>
        <v>0</v>
      </c>
      <c r="AL69" s="38">
        <f>AL28-CY28</f>
        <v>-242093</v>
      </c>
      <c r="AM69" s="38">
        <f>AM28-CZ28</f>
        <v>0</v>
      </c>
      <c r="AN69" s="38">
        <f>AN28-DA28</f>
        <v>0</v>
      </c>
      <c r="AO69" s="38">
        <f>AO28-DB28</f>
        <v>0</v>
      </c>
      <c r="AP69" s="38">
        <f>AP28-DC28</f>
        <v>0</v>
      </c>
      <c r="AQ69" s="38">
        <f>AQ28-DD28</f>
        <v>-430704</v>
      </c>
      <c r="AR69" s="38">
        <f>AR28-DE28</f>
        <v>0</v>
      </c>
      <c r="AS69" s="38">
        <f>AS28-DF28</f>
        <v>0</v>
      </c>
      <c r="AT69" s="38">
        <f>AT28-DG28</f>
        <v>0</v>
      </c>
      <c r="AU69" s="38">
        <f>AU28-DH28</f>
        <v>0</v>
      </c>
      <c r="AV69" s="38">
        <f>AV28-DI28</f>
        <v>1090093</v>
      </c>
      <c r="AW69" s="38">
        <f>AW28-DJ28</f>
        <v>0</v>
      </c>
      <c r="AX69" s="38">
        <f>AX28-DK28</f>
        <v>0</v>
      </c>
      <c r="AY69" s="38">
        <f>AY28-DL28</f>
        <v>0</v>
      </c>
      <c r="AZ69" s="38">
        <f>AZ28-DM28</f>
        <v>0</v>
      </c>
      <c r="BA69" s="38">
        <f>BA28-DN28</f>
        <v>615637</v>
      </c>
      <c r="BB69" s="38">
        <f>BB28-DO28</f>
        <v>0</v>
      </c>
      <c r="BC69" s="38">
        <f>BC28-DP28</f>
        <v>0</v>
      </c>
      <c r="BD69" s="38">
        <f>BD28-DQ28</f>
        <v>0</v>
      </c>
      <c r="BE69" s="38">
        <f>BE28-DR28</f>
        <v>0</v>
      </c>
      <c r="BF69" s="38">
        <f>BF28-DS28</f>
        <v>47880</v>
      </c>
      <c r="BG69" s="38">
        <f>BG28-DT28</f>
        <v>0</v>
      </c>
      <c r="BH69" s="38">
        <f>BH28-DU28</f>
        <v>0</v>
      </c>
      <c r="BI69" s="38">
        <f>BI28-DV28</f>
        <v>0</v>
      </c>
      <c r="BJ69" s="38">
        <f>BJ28-DW28</f>
        <v>0</v>
      </c>
      <c r="BK69" s="38">
        <f>BK28-DX28</f>
        <v>662345</v>
      </c>
      <c r="BL69" s="38">
        <f>BL28-DY28</f>
        <v>0</v>
      </c>
      <c r="BM69" s="38">
        <f>BM28-DZ28</f>
        <v>0</v>
      </c>
      <c r="BN69" s="38" t="e">
        <f>BN28-#REF!</f>
        <v>#REF!</v>
      </c>
      <c r="BO69" s="38" t="e">
        <f>BO28-#REF!</f>
        <v>#REF!</v>
      </c>
      <c r="BP69" s="38" t="e">
        <f>BP28-#REF!</f>
        <v>#REF!</v>
      </c>
      <c r="BQ69" s="38" t="e">
        <f>BQ28-#REF!</f>
        <v>#REF!</v>
      </c>
      <c r="BR69" s="38" t="e">
        <f>BR28-#REF!</f>
        <v>#REF!</v>
      </c>
      <c r="BS69" s="38" t="e">
        <f>BS28-#REF!</f>
        <v>#REF!</v>
      </c>
      <c r="BT69" s="38" t="e">
        <f>BT28-#REF!</f>
        <v>#REF!</v>
      </c>
      <c r="BU69" s="38" t="e">
        <f>BU28-#REF!</f>
        <v>#REF!</v>
      </c>
    </row>
    <row r="70" spans="13:73" hidden="1" x14ac:dyDescent="0.3">
      <c r="M70" s="38">
        <f>M29-BZ29</f>
        <v>0</v>
      </c>
      <c r="N70" s="38">
        <f>N29-CA29</f>
        <v>0</v>
      </c>
      <c r="O70" s="38">
        <f>O29-CB29</f>
        <v>0</v>
      </c>
      <c r="P70" s="38">
        <f>P29-CC29</f>
        <v>0</v>
      </c>
      <c r="Q70" s="38">
        <f>Q29-CD29</f>
        <v>0</v>
      </c>
      <c r="R70" s="38">
        <f>R29-CE29</f>
        <v>0</v>
      </c>
      <c r="S70" s="38">
        <f>S29-CF29</f>
        <v>0</v>
      </c>
      <c r="T70" s="38">
        <f>T29-CG29</f>
        <v>0</v>
      </c>
      <c r="U70" s="38">
        <f>U29-CH29</f>
        <v>0</v>
      </c>
      <c r="V70" s="38">
        <f>V29-CI29</f>
        <v>0</v>
      </c>
      <c r="W70" s="38">
        <f>W29-CJ29</f>
        <v>0</v>
      </c>
      <c r="X70" s="38">
        <f>X29-CK29</f>
        <v>0</v>
      </c>
      <c r="Y70" s="38">
        <f>Y29-CL29</f>
        <v>0</v>
      </c>
      <c r="Z70" s="38">
        <f>Z29-CM29</f>
        <v>0</v>
      </c>
      <c r="AA70" s="38">
        <f>AA29-CN29</f>
        <v>0</v>
      </c>
      <c r="AB70" s="38">
        <f>AB29-CO29</f>
        <v>0</v>
      </c>
      <c r="AC70" s="38">
        <f>AC29-CP29</f>
        <v>0</v>
      </c>
      <c r="AD70" s="38">
        <f>AD29-CQ29</f>
        <v>0</v>
      </c>
      <c r="AE70" s="38">
        <f>AE29-CR29</f>
        <v>0</v>
      </c>
      <c r="AF70" s="38">
        <f>AF29-CS29</f>
        <v>0</v>
      </c>
      <c r="AG70" s="38">
        <f>AG29-CT29</f>
        <v>0</v>
      </c>
      <c r="AH70" s="38">
        <f>AH29-CU29</f>
        <v>0</v>
      </c>
      <c r="AI70" s="38">
        <f>AI29-CV29</f>
        <v>0</v>
      </c>
      <c r="AJ70" s="38">
        <f>AJ29-CW29</f>
        <v>0</v>
      </c>
      <c r="AK70" s="38">
        <f>AK29-CX29</f>
        <v>0</v>
      </c>
      <c r="AL70" s="38">
        <f>AL29-CY29</f>
        <v>0</v>
      </c>
      <c r="AM70" s="38">
        <f>AM29-CZ29</f>
        <v>0</v>
      </c>
      <c r="AN70" s="38">
        <f>AN29-DA29</f>
        <v>0</v>
      </c>
      <c r="AO70" s="38">
        <f>AO29-DB29</f>
        <v>0</v>
      </c>
      <c r="AP70" s="38">
        <f>AP29-DC29</f>
        <v>0</v>
      </c>
      <c r="AQ70" s="38">
        <f>AQ29-DD29</f>
        <v>0</v>
      </c>
      <c r="AR70" s="38">
        <f>AR29-DE29</f>
        <v>0</v>
      </c>
      <c r="AS70" s="38">
        <f>AS29-DF29</f>
        <v>0</v>
      </c>
      <c r="AT70" s="38">
        <f>AT29-DG29</f>
        <v>0</v>
      </c>
      <c r="AU70" s="38">
        <f>AU29-DH29</f>
        <v>0</v>
      </c>
      <c r="AV70" s="38">
        <f>AV29-DI29</f>
        <v>0</v>
      </c>
      <c r="AW70" s="38">
        <f>AW29-DJ29</f>
        <v>0</v>
      </c>
      <c r="AX70" s="38">
        <f>AX29-DK29</f>
        <v>0</v>
      </c>
      <c r="AY70" s="38">
        <f>AY29-DL29</f>
        <v>0</v>
      </c>
      <c r="AZ70" s="38">
        <f>AZ29-DM29</f>
        <v>0</v>
      </c>
      <c r="BA70" s="38">
        <f>BA29-DN29</f>
        <v>0</v>
      </c>
      <c r="BB70" s="38">
        <f>BB29-DO29</f>
        <v>0</v>
      </c>
      <c r="BC70" s="38">
        <f>BC29-DP29</f>
        <v>0</v>
      </c>
      <c r="BD70" s="38">
        <f>BD29-DQ29</f>
        <v>0</v>
      </c>
      <c r="BE70" s="38">
        <f>BE29-DR29</f>
        <v>0</v>
      </c>
      <c r="BF70" s="38">
        <f>BF29-DS29</f>
        <v>0</v>
      </c>
      <c r="BG70" s="38">
        <f>BG29-DT29</f>
        <v>0</v>
      </c>
      <c r="BH70" s="38">
        <f>BH29-DU29</f>
        <v>0</v>
      </c>
      <c r="BI70" s="38">
        <f>BI29-DV29</f>
        <v>0</v>
      </c>
      <c r="BJ70" s="38">
        <f>BJ29-DW29</f>
        <v>0</v>
      </c>
      <c r="BK70" s="38">
        <f>BK29-DX29</f>
        <v>0</v>
      </c>
      <c r="BL70" s="38">
        <f>BL29-DY29</f>
        <v>0</v>
      </c>
      <c r="BM70" s="38">
        <f>BM29-DZ29</f>
        <v>0</v>
      </c>
      <c r="BN70" s="38" t="e">
        <f>BN29-#REF!</f>
        <v>#REF!</v>
      </c>
      <c r="BO70" s="38" t="e">
        <f>BO29-#REF!</f>
        <v>#REF!</v>
      </c>
      <c r="BP70" s="38" t="e">
        <f>BP29-#REF!</f>
        <v>#REF!</v>
      </c>
      <c r="BQ70" s="38" t="e">
        <f>BQ29-#REF!</f>
        <v>#REF!</v>
      </c>
      <c r="BR70" s="38" t="e">
        <f>BR29-#REF!</f>
        <v>#REF!</v>
      </c>
      <c r="BS70" s="38" t="e">
        <f>BS29-#REF!</f>
        <v>#REF!</v>
      </c>
      <c r="BT70" s="38" t="e">
        <f>BT29-#REF!</f>
        <v>#REF!</v>
      </c>
      <c r="BU70" s="38" t="e">
        <f>BU29-#REF!</f>
        <v>#REF!</v>
      </c>
    </row>
    <row r="71" spans="13:73" hidden="1" x14ac:dyDescent="0.3">
      <c r="M71" s="38">
        <f>M30-BZ30</f>
        <v>0</v>
      </c>
      <c r="N71" s="38">
        <f>N30-CA30</f>
        <v>0</v>
      </c>
      <c r="O71" s="38">
        <f>O30-CB30</f>
        <v>0</v>
      </c>
      <c r="P71" s="38">
        <f>P30-CC30</f>
        <v>0</v>
      </c>
      <c r="Q71" s="38">
        <f>Q30-CD30</f>
        <v>0</v>
      </c>
      <c r="R71" s="38">
        <f>R30-CE30</f>
        <v>0</v>
      </c>
      <c r="S71" s="38">
        <f>S30-CF30</f>
        <v>0</v>
      </c>
      <c r="T71" s="38">
        <f>T30-CG30</f>
        <v>0</v>
      </c>
      <c r="U71" s="38">
        <f>U30-CH30</f>
        <v>0</v>
      </c>
      <c r="V71" s="38">
        <f>V30-CI30</f>
        <v>0</v>
      </c>
      <c r="W71" s="38">
        <f>W30-CJ30</f>
        <v>0</v>
      </c>
      <c r="X71" s="38">
        <f>X30-CK30</f>
        <v>0</v>
      </c>
      <c r="Y71" s="38">
        <f>Y30-CL30</f>
        <v>0</v>
      </c>
      <c r="Z71" s="38">
        <f>Z30-CM30</f>
        <v>0</v>
      </c>
      <c r="AA71" s="38">
        <f>AA30-CN30</f>
        <v>0</v>
      </c>
      <c r="AB71" s="38">
        <f>AB30-CO30</f>
        <v>0</v>
      </c>
      <c r="AC71" s="38">
        <f>AC30-CP30</f>
        <v>0</v>
      </c>
      <c r="AD71" s="38">
        <f>AD30-CQ30</f>
        <v>0</v>
      </c>
      <c r="AE71" s="38">
        <f>AE30-CR30</f>
        <v>0</v>
      </c>
      <c r="AF71" s="38">
        <f>AF30-CS30</f>
        <v>0</v>
      </c>
      <c r="AG71" s="38">
        <f>AG30-CT30</f>
        <v>0</v>
      </c>
      <c r="AH71" s="38">
        <f>AH30-CU30</f>
        <v>0</v>
      </c>
      <c r="AI71" s="38">
        <f>AI30-CV30</f>
        <v>0</v>
      </c>
      <c r="AJ71" s="38">
        <f>AJ30-CW30</f>
        <v>0</v>
      </c>
      <c r="AK71" s="38">
        <f>AK30-CX30</f>
        <v>0</v>
      </c>
      <c r="AL71" s="38">
        <f>AL30-CY30</f>
        <v>0</v>
      </c>
      <c r="AM71" s="38">
        <f>AM30-CZ30</f>
        <v>0</v>
      </c>
      <c r="AN71" s="38">
        <f>AN30-DA30</f>
        <v>0</v>
      </c>
      <c r="AO71" s="38">
        <f>AO30-DB30</f>
        <v>0</v>
      </c>
      <c r="AP71" s="38">
        <f>AP30-DC30</f>
        <v>0</v>
      </c>
      <c r="AQ71" s="38">
        <f>AQ30-DD30</f>
        <v>0</v>
      </c>
      <c r="AR71" s="38">
        <f>AR30-DE30</f>
        <v>0</v>
      </c>
      <c r="AS71" s="38">
        <f>AS30-DF30</f>
        <v>0</v>
      </c>
      <c r="AT71" s="38">
        <f>AT30-DG30</f>
        <v>0</v>
      </c>
      <c r="AU71" s="38">
        <f>AU30-DH30</f>
        <v>0</v>
      </c>
      <c r="AV71" s="38">
        <f>AV30-DI30</f>
        <v>0</v>
      </c>
      <c r="AW71" s="38">
        <f>AW30-DJ30</f>
        <v>0</v>
      </c>
      <c r="AX71" s="38">
        <f>AX30-DK30</f>
        <v>0</v>
      </c>
      <c r="AY71" s="38">
        <f>AY30-DL30</f>
        <v>0</v>
      </c>
      <c r="AZ71" s="38">
        <f>AZ30-DM30</f>
        <v>0</v>
      </c>
      <c r="BA71" s="38">
        <f>BA30-DN30</f>
        <v>0</v>
      </c>
      <c r="BB71" s="38">
        <f>BB30-DO30</f>
        <v>0</v>
      </c>
      <c r="BC71" s="38">
        <f>BC30-DP30</f>
        <v>0</v>
      </c>
      <c r="BD71" s="38">
        <f>BD30-DQ30</f>
        <v>0</v>
      </c>
      <c r="BE71" s="38">
        <f>BE30-DR30</f>
        <v>0</v>
      </c>
      <c r="BF71" s="38">
        <f>BF30-DS30</f>
        <v>0</v>
      </c>
      <c r="BG71" s="38">
        <f>BG30-DT30</f>
        <v>0</v>
      </c>
      <c r="BH71" s="38">
        <f>BH30-DU30</f>
        <v>0</v>
      </c>
      <c r="BI71" s="38">
        <f>BI30-DV30</f>
        <v>0</v>
      </c>
      <c r="BJ71" s="38">
        <f>BJ30-DW30</f>
        <v>0</v>
      </c>
      <c r="BK71" s="38">
        <f>BK30-DX30</f>
        <v>0</v>
      </c>
      <c r="BL71" s="38">
        <f>BL30-DY30</f>
        <v>0</v>
      </c>
      <c r="BM71" s="38">
        <f>BM30-DZ30</f>
        <v>0</v>
      </c>
      <c r="BN71" s="38" t="e">
        <f>BN30-#REF!</f>
        <v>#REF!</v>
      </c>
      <c r="BO71" s="38" t="e">
        <f>BO30-#REF!</f>
        <v>#REF!</v>
      </c>
      <c r="BP71" s="38" t="e">
        <f>BP30-#REF!</f>
        <v>#REF!</v>
      </c>
      <c r="BQ71" s="38" t="e">
        <f>BQ30-#REF!</f>
        <v>#REF!</v>
      </c>
      <c r="BR71" s="38" t="e">
        <f>BR30-#REF!</f>
        <v>#REF!</v>
      </c>
      <c r="BS71" s="38" t="e">
        <f>BS30-#REF!</f>
        <v>#REF!</v>
      </c>
      <c r="BT71" s="38" t="e">
        <f>BT30-#REF!</f>
        <v>#REF!</v>
      </c>
      <c r="BU71" s="38" t="e">
        <f>BU30-#REF!</f>
        <v>#REF!</v>
      </c>
    </row>
    <row r="72" spans="13:73" hidden="1" x14ac:dyDescent="0.3">
      <c r="M72" s="38">
        <f>M31-BZ31</f>
        <v>0</v>
      </c>
      <c r="N72" s="38">
        <f>N31-CA31</f>
        <v>0</v>
      </c>
      <c r="O72" s="38">
        <f>O31-CB31</f>
        <v>0</v>
      </c>
      <c r="P72" s="38">
        <f>P31-CC31</f>
        <v>0</v>
      </c>
      <c r="Q72" s="38">
        <f>Q31-CD31</f>
        <v>0</v>
      </c>
      <c r="R72" s="38">
        <f>R31-CE31</f>
        <v>0</v>
      </c>
      <c r="S72" s="38">
        <f>S31-CF31</f>
        <v>0</v>
      </c>
      <c r="T72" s="38">
        <f>T31-CG31</f>
        <v>0</v>
      </c>
      <c r="U72" s="38">
        <f>U31-CH31</f>
        <v>0</v>
      </c>
      <c r="V72" s="38">
        <f>V31-CI31</f>
        <v>0</v>
      </c>
      <c r="W72" s="38">
        <f>W31-CJ31</f>
        <v>0</v>
      </c>
      <c r="X72" s="38">
        <f>X31-CK31</f>
        <v>0</v>
      </c>
      <c r="Y72" s="38">
        <f>Y31-CL31</f>
        <v>0</v>
      </c>
      <c r="Z72" s="38">
        <f>Z31-CM31</f>
        <v>0</v>
      </c>
      <c r="AA72" s="38">
        <f>AA31-CN31</f>
        <v>0</v>
      </c>
      <c r="AB72" s="38">
        <f>AB31-CO31</f>
        <v>0</v>
      </c>
      <c r="AC72" s="38">
        <f>AC31-CP31</f>
        <v>0</v>
      </c>
      <c r="AD72" s="38">
        <f>AD31-CQ31</f>
        <v>0</v>
      </c>
      <c r="AE72" s="38">
        <f>AE31-CR31</f>
        <v>0</v>
      </c>
      <c r="AF72" s="38">
        <f>AF31-CS31</f>
        <v>0</v>
      </c>
      <c r="AG72" s="38">
        <f>AG31-CT31</f>
        <v>0</v>
      </c>
      <c r="AH72" s="38">
        <f>AH31-CU31</f>
        <v>0</v>
      </c>
      <c r="AI72" s="38">
        <f>AI31-CV31</f>
        <v>0</v>
      </c>
      <c r="AJ72" s="38">
        <f>AJ31-CW31</f>
        <v>0</v>
      </c>
      <c r="AK72" s="38">
        <f>AK31-CX31</f>
        <v>0</v>
      </c>
      <c r="AL72" s="38">
        <f>AL31-CY31</f>
        <v>0</v>
      </c>
      <c r="AM72" s="38">
        <f>AM31-CZ31</f>
        <v>0</v>
      </c>
      <c r="AN72" s="38">
        <f>AN31-DA31</f>
        <v>0</v>
      </c>
      <c r="AO72" s="38">
        <f>AO31-DB31</f>
        <v>0</v>
      </c>
      <c r="AP72" s="38">
        <f>AP31-DC31</f>
        <v>0</v>
      </c>
      <c r="AQ72" s="38">
        <f>AQ31-DD31</f>
        <v>0</v>
      </c>
      <c r="AR72" s="38">
        <f>AR31-DE31</f>
        <v>0</v>
      </c>
      <c r="AS72" s="38">
        <f>AS31-DF31</f>
        <v>0</v>
      </c>
      <c r="AT72" s="38">
        <f>AT31-DG31</f>
        <v>0</v>
      </c>
      <c r="AU72" s="38">
        <f>AU31-DH31</f>
        <v>0</v>
      </c>
      <c r="AV72" s="38">
        <f>AV31-DI31</f>
        <v>0</v>
      </c>
      <c r="AW72" s="38">
        <f>AW31-DJ31</f>
        <v>0</v>
      </c>
      <c r="AX72" s="38">
        <f>AX31-DK31</f>
        <v>0</v>
      </c>
      <c r="AY72" s="38">
        <f>AY31-DL31</f>
        <v>0</v>
      </c>
      <c r="AZ72" s="38">
        <f>AZ31-DM31</f>
        <v>0</v>
      </c>
      <c r="BA72" s="38">
        <f>BA31-DN31</f>
        <v>0</v>
      </c>
      <c r="BB72" s="38">
        <f>BB31-DO31</f>
        <v>0</v>
      </c>
      <c r="BC72" s="38">
        <f>BC31-DP31</f>
        <v>0</v>
      </c>
      <c r="BD72" s="38">
        <f>BD31-DQ31</f>
        <v>0</v>
      </c>
      <c r="BE72" s="38">
        <f>BE31-DR31</f>
        <v>0</v>
      </c>
      <c r="BF72" s="38">
        <f>BF31-DS31</f>
        <v>0</v>
      </c>
      <c r="BG72" s="38">
        <f>BG31-DT31</f>
        <v>0</v>
      </c>
      <c r="BH72" s="38">
        <f>BH31-DU31</f>
        <v>0</v>
      </c>
      <c r="BI72" s="38">
        <f>BI31-DV31</f>
        <v>0</v>
      </c>
      <c r="BJ72" s="38">
        <f>BJ31-DW31</f>
        <v>0</v>
      </c>
      <c r="BK72" s="38">
        <f>BK31-DX31</f>
        <v>0</v>
      </c>
      <c r="BL72" s="38">
        <f>BL31-DY31</f>
        <v>0</v>
      </c>
      <c r="BM72" s="38">
        <f>BM31-DZ31</f>
        <v>0</v>
      </c>
      <c r="BN72" s="38" t="e">
        <f>BN31-#REF!</f>
        <v>#REF!</v>
      </c>
      <c r="BO72" s="38" t="e">
        <f>BO31-#REF!</f>
        <v>#REF!</v>
      </c>
      <c r="BP72" s="38" t="e">
        <f>BP31-#REF!</f>
        <v>#REF!</v>
      </c>
      <c r="BQ72" s="38" t="e">
        <f>BQ31-#REF!</f>
        <v>#REF!</v>
      </c>
      <c r="BR72" s="38" t="e">
        <f>BR31-#REF!</f>
        <v>#REF!</v>
      </c>
      <c r="BS72" s="38" t="e">
        <f>BS31-#REF!</f>
        <v>#REF!</v>
      </c>
      <c r="BT72" s="38" t="e">
        <f>BT31-#REF!</f>
        <v>#REF!</v>
      </c>
      <c r="BU72" s="38" t="e">
        <f>BU31-#REF!</f>
        <v>#REF!</v>
      </c>
    </row>
    <row r="73" spans="13:73" hidden="1" x14ac:dyDescent="0.3">
      <c r="M73" s="38">
        <f>M32-BZ32</f>
        <v>0</v>
      </c>
      <c r="N73" s="38">
        <f>N32-CA32</f>
        <v>0</v>
      </c>
      <c r="O73" s="38">
        <f>O32-CB32</f>
        <v>0</v>
      </c>
      <c r="P73" s="38">
        <f>P32-CC32</f>
        <v>0</v>
      </c>
      <c r="Q73" s="38">
        <f>Q32-CD32</f>
        <v>0</v>
      </c>
      <c r="R73" s="38">
        <f>R32-CE32</f>
        <v>0</v>
      </c>
      <c r="S73" s="38">
        <f>S32-CF32</f>
        <v>0</v>
      </c>
      <c r="T73" s="38">
        <f>T32-CG32</f>
        <v>0</v>
      </c>
      <c r="U73" s="38">
        <f>U32-CH32</f>
        <v>0</v>
      </c>
      <c r="V73" s="38">
        <f>V32-CI32</f>
        <v>0</v>
      </c>
      <c r="W73" s="38">
        <f>W32-CJ32</f>
        <v>0</v>
      </c>
      <c r="X73" s="38">
        <f>X32-CK32</f>
        <v>0</v>
      </c>
      <c r="Y73" s="38">
        <f>Y32-CL32</f>
        <v>0</v>
      </c>
      <c r="Z73" s="38">
        <f>Z32-CM32</f>
        <v>0</v>
      </c>
      <c r="AA73" s="38">
        <f>AA32-CN32</f>
        <v>0</v>
      </c>
      <c r="AB73" s="38">
        <f>AB32-CO32</f>
        <v>-22185</v>
      </c>
      <c r="AC73" s="38">
        <f>AC32-CP32</f>
        <v>0</v>
      </c>
      <c r="AD73" s="38">
        <f>AD32-CQ32</f>
        <v>0</v>
      </c>
      <c r="AE73" s="38">
        <f>AE32-CR32</f>
        <v>0</v>
      </c>
      <c r="AF73" s="38">
        <f>AF32-CS32</f>
        <v>0</v>
      </c>
      <c r="AG73" s="38">
        <f>AG32-CT32</f>
        <v>98</v>
      </c>
      <c r="AH73" s="38">
        <f>AH32-CU32</f>
        <v>0</v>
      </c>
      <c r="AI73" s="38">
        <f>AI32-CV32</f>
        <v>0</v>
      </c>
      <c r="AJ73" s="38">
        <f>AJ32-CW32</f>
        <v>0</v>
      </c>
      <c r="AK73" s="38">
        <f>AK32-CX32</f>
        <v>0</v>
      </c>
      <c r="AL73" s="38">
        <f>AL32-CY32</f>
        <v>0</v>
      </c>
      <c r="AM73" s="38">
        <f>AM32-CZ32</f>
        <v>0</v>
      </c>
      <c r="AN73" s="38">
        <f>AN32-DA32</f>
        <v>0</v>
      </c>
      <c r="AO73" s="38">
        <f>AO32-DB32</f>
        <v>0</v>
      </c>
      <c r="AP73" s="38">
        <f>AP32-DC32</f>
        <v>0</v>
      </c>
      <c r="AQ73" s="38">
        <f>AQ32-DD32</f>
        <v>372528</v>
      </c>
      <c r="AR73" s="38">
        <f>AR32-DE32</f>
        <v>0</v>
      </c>
      <c r="AS73" s="38">
        <f>AS32-DF32</f>
        <v>0</v>
      </c>
      <c r="AT73" s="38">
        <f>AT32-DG32</f>
        <v>0</v>
      </c>
      <c r="AU73" s="38">
        <f>AU32-DH32</f>
        <v>0</v>
      </c>
      <c r="AV73" s="38">
        <f>AV32-DI32</f>
        <v>0</v>
      </c>
      <c r="AW73" s="38">
        <f>AW32-DJ32</f>
        <v>0</v>
      </c>
      <c r="AX73" s="38">
        <f>AX32-DK32</f>
        <v>0</v>
      </c>
      <c r="AY73" s="38">
        <f>AY32-DL32</f>
        <v>0</v>
      </c>
      <c r="AZ73" s="38">
        <f>AZ32-DM32</f>
        <v>0</v>
      </c>
      <c r="BA73" s="38">
        <f>BA32-DN32</f>
        <v>0</v>
      </c>
      <c r="BB73" s="38">
        <f>BB32-DO32</f>
        <v>0</v>
      </c>
      <c r="BC73" s="38">
        <f>BC32-DP32</f>
        <v>0</v>
      </c>
      <c r="BD73" s="38">
        <f>BD32-DQ32</f>
        <v>0</v>
      </c>
      <c r="BE73" s="38">
        <f>BE32-DR32</f>
        <v>0</v>
      </c>
      <c r="BF73" s="38">
        <f>BF32-DS32</f>
        <v>0</v>
      </c>
      <c r="BG73" s="38">
        <f>BG32-DT32</f>
        <v>0</v>
      </c>
      <c r="BH73" s="38">
        <f>BH32-DU32</f>
        <v>0</v>
      </c>
      <c r="BI73" s="38">
        <f>BI32-DV32</f>
        <v>0</v>
      </c>
      <c r="BJ73" s="38">
        <f>BJ32-DW32</f>
        <v>0</v>
      </c>
      <c r="BK73" s="38">
        <f>BK32-DX32</f>
        <v>0</v>
      </c>
      <c r="BL73" s="38">
        <f>BL32-DY32</f>
        <v>0</v>
      </c>
      <c r="BM73" s="38">
        <f>BM32-DZ32</f>
        <v>0</v>
      </c>
      <c r="BN73" s="38" t="e">
        <f>BN32-#REF!</f>
        <v>#REF!</v>
      </c>
      <c r="BO73" s="38" t="e">
        <f>BO32-#REF!</f>
        <v>#REF!</v>
      </c>
      <c r="BP73" s="38" t="e">
        <f>BP32-#REF!</f>
        <v>#REF!</v>
      </c>
      <c r="BQ73" s="38" t="e">
        <f>BQ32-#REF!</f>
        <v>#REF!</v>
      </c>
      <c r="BR73" s="38" t="e">
        <f>BR32-#REF!</f>
        <v>#REF!</v>
      </c>
      <c r="BS73" s="38" t="e">
        <f>BS32-#REF!</f>
        <v>#REF!</v>
      </c>
      <c r="BT73" s="38" t="e">
        <f>BT32-#REF!</f>
        <v>#REF!</v>
      </c>
      <c r="BU73" s="38" t="e">
        <f>BU32-#REF!</f>
        <v>#REF!</v>
      </c>
    </row>
    <row r="74" spans="13:73" hidden="1" x14ac:dyDescent="0.3">
      <c r="M74" s="38">
        <f>M33-BZ33</f>
        <v>0</v>
      </c>
      <c r="N74" s="38">
        <f>N33-CA33</f>
        <v>0</v>
      </c>
      <c r="O74" s="38">
        <f>O33-CB33</f>
        <v>0</v>
      </c>
      <c r="P74" s="38">
        <f>P33-CC33</f>
        <v>0</v>
      </c>
      <c r="Q74" s="38">
        <f>Q33-CD33</f>
        <v>0</v>
      </c>
      <c r="R74" s="38">
        <f>R33-CE33</f>
        <v>0</v>
      </c>
      <c r="S74" s="38">
        <f>S33-CF33</f>
        <v>0</v>
      </c>
      <c r="T74" s="38">
        <f>T33-CG33</f>
        <v>0</v>
      </c>
      <c r="U74" s="38">
        <f>U33-CH33</f>
        <v>0</v>
      </c>
      <c r="V74" s="38">
        <f>V33-CI33</f>
        <v>0</v>
      </c>
      <c r="W74" s="38">
        <f>W33-CJ33</f>
        <v>0</v>
      </c>
      <c r="X74" s="38">
        <f>X33-CK33</f>
        <v>0</v>
      </c>
      <c r="Y74" s="38">
        <f>Y33-CL33</f>
        <v>0</v>
      </c>
      <c r="Z74" s="38">
        <f>Z33-CM33</f>
        <v>0</v>
      </c>
      <c r="AA74" s="38">
        <f>AA33-CN33</f>
        <v>0</v>
      </c>
      <c r="AB74" s="38">
        <f>AB33-CO33</f>
        <v>-22185</v>
      </c>
      <c r="AC74" s="38">
        <f>AC33-CP33</f>
        <v>0</v>
      </c>
      <c r="AD74" s="38">
        <f>AD33-CQ33</f>
        <v>0</v>
      </c>
      <c r="AE74" s="38">
        <f>AE33-CR33</f>
        <v>0</v>
      </c>
      <c r="AF74" s="38">
        <f>AF33-CS33</f>
        <v>0</v>
      </c>
      <c r="AG74" s="38">
        <f>AG33-CT33</f>
        <v>98</v>
      </c>
      <c r="AH74" s="38">
        <f>AH33-CU33</f>
        <v>0</v>
      </c>
      <c r="AI74" s="38">
        <f>AI33-CV33</f>
        <v>0</v>
      </c>
      <c r="AJ74" s="38">
        <f>AJ33-CW33</f>
        <v>0</v>
      </c>
      <c r="AK74" s="38">
        <f>AK33-CX33</f>
        <v>0</v>
      </c>
      <c r="AL74" s="38">
        <f>AL33-CY33</f>
        <v>0</v>
      </c>
      <c r="AM74" s="38">
        <f>AM33-CZ33</f>
        <v>0</v>
      </c>
      <c r="AN74" s="38">
        <f>AN33-DA33</f>
        <v>0</v>
      </c>
      <c r="AO74" s="38">
        <f>AO33-DB33</f>
        <v>0</v>
      </c>
      <c r="AP74" s="38">
        <f>AP33-DC33</f>
        <v>0</v>
      </c>
      <c r="AQ74" s="38">
        <f>AQ33-DD33</f>
        <v>372528</v>
      </c>
      <c r="AR74" s="38">
        <f>AR33-DE33</f>
        <v>0</v>
      </c>
      <c r="AS74" s="38">
        <f>AS33-DF33</f>
        <v>0</v>
      </c>
      <c r="AT74" s="38">
        <f>AT33-DG33</f>
        <v>0</v>
      </c>
      <c r="AU74" s="38">
        <f>AU33-DH33</f>
        <v>0</v>
      </c>
      <c r="AV74" s="38">
        <f>AV33-DI33</f>
        <v>0</v>
      </c>
      <c r="AW74" s="38">
        <f>AW33-DJ33</f>
        <v>0</v>
      </c>
      <c r="AX74" s="38">
        <f>AX33-DK33</f>
        <v>0</v>
      </c>
      <c r="AY74" s="38">
        <f>AY33-DL33</f>
        <v>0</v>
      </c>
      <c r="AZ74" s="38">
        <f>AZ33-DM33</f>
        <v>0</v>
      </c>
      <c r="BA74" s="38">
        <f>BA33-DN33</f>
        <v>0</v>
      </c>
      <c r="BB74" s="38">
        <f>BB33-DO33</f>
        <v>0</v>
      </c>
      <c r="BC74" s="38">
        <f>BC33-DP33</f>
        <v>0</v>
      </c>
      <c r="BD74" s="38">
        <f>BD33-DQ33</f>
        <v>0</v>
      </c>
      <c r="BE74" s="38">
        <f>BE33-DR33</f>
        <v>0</v>
      </c>
      <c r="BF74" s="38">
        <f>BF33-DS33</f>
        <v>0</v>
      </c>
      <c r="BG74" s="38">
        <f>BG33-DT33</f>
        <v>0</v>
      </c>
      <c r="BH74" s="38">
        <f>BH33-DU33</f>
        <v>0</v>
      </c>
      <c r="BI74" s="38">
        <f>BI33-DV33</f>
        <v>0</v>
      </c>
      <c r="BJ74" s="38">
        <f>BJ33-DW33</f>
        <v>0</v>
      </c>
      <c r="BK74" s="38">
        <f>BK33-DX33</f>
        <v>0</v>
      </c>
      <c r="BL74" s="38">
        <f>BL33-DY33</f>
        <v>0</v>
      </c>
      <c r="BM74" s="38">
        <f>BM33-DZ33</f>
        <v>0</v>
      </c>
      <c r="BN74" s="38" t="e">
        <f>BN33-#REF!</f>
        <v>#REF!</v>
      </c>
      <c r="BO74" s="38" t="e">
        <f>BO33-#REF!</f>
        <v>#REF!</v>
      </c>
      <c r="BP74" s="38" t="e">
        <f>BP33-#REF!</f>
        <v>#REF!</v>
      </c>
      <c r="BQ74" s="38" t="e">
        <f>BQ33-#REF!</f>
        <v>#REF!</v>
      </c>
      <c r="BR74" s="38" t="e">
        <f>BR33-#REF!</f>
        <v>#REF!</v>
      </c>
      <c r="BS74" s="38" t="e">
        <f>BS33-#REF!</f>
        <v>#REF!</v>
      </c>
      <c r="BT74" s="38" t="e">
        <f>BT33-#REF!</f>
        <v>#REF!</v>
      </c>
      <c r="BU74" s="38" t="e">
        <f>BU33-#REF!</f>
        <v>#REF!</v>
      </c>
    </row>
    <row r="75" spans="13:73" hidden="1" x14ac:dyDescent="0.3">
      <c r="M75" s="38">
        <f>M34-BZ34</f>
        <v>0</v>
      </c>
      <c r="N75" s="38">
        <f>N34-CA34</f>
        <v>0</v>
      </c>
      <c r="O75" s="38">
        <f>O34-CB34</f>
        <v>0</v>
      </c>
      <c r="P75" s="38">
        <f>P34-CC34</f>
        <v>0</v>
      </c>
      <c r="Q75" s="38">
        <f>Q34-CD34</f>
        <v>0</v>
      </c>
      <c r="R75" s="38">
        <f>R34-CE34</f>
        <v>0</v>
      </c>
      <c r="S75" s="38">
        <f>S34-CF34</f>
        <v>0</v>
      </c>
      <c r="T75" s="38">
        <f>T34-CG34</f>
        <v>0</v>
      </c>
      <c r="U75" s="38">
        <f>U34-CH34</f>
        <v>0</v>
      </c>
      <c r="V75" s="38">
        <f>V34-CI34</f>
        <v>0</v>
      </c>
      <c r="W75" s="38">
        <f>W34-CJ34</f>
        <v>0</v>
      </c>
      <c r="X75" s="38">
        <f>X34-CK34</f>
        <v>0</v>
      </c>
      <c r="Y75" s="38">
        <f>Y34-CL34</f>
        <v>0</v>
      </c>
      <c r="Z75" s="38">
        <f>Z34-CM34</f>
        <v>0</v>
      </c>
      <c r="AA75" s="38">
        <f>AA34-CN34</f>
        <v>0</v>
      </c>
      <c r="AB75" s="38">
        <f>AB34-CO34</f>
        <v>0</v>
      </c>
      <c r="AC75" s="38">
        <f>AC34-CP34</f>
        <v>0</v>
      </c>
      <c r="AD75" s="38">
        <f>AD34-CQ34</f>
        <v>0</v>
      </c>
      <c r="AE75" s="38">
        <f>AE34-CR34</f>
        <v>0</v>
      </c>
      <c r="AF75" s="38">
        <f>AF34-CS34</f>
        <v>0</v>
      </c>
      <c r="AG75" s="38">
        <f>AG34-CT34</f>
        <v>0</v>
      </c>
      <c r="AH75" s="38">
        <f>AH34-CU34</f>
        <v>0</v>
      </c>
      <c r="AI75" s="38">
        <f>AI34-CV34</f>
        <v>0</v>
      </c>
      <c r="AJ75" s="38">
        <f>AJ34-CW34</f>
        <v>0</v>
      </c>
      <c r="AK75" s="38">
        <f>AK34-CX34</f>
        <v>0</v>
      </c>
      <c r="AL75" s="38">
        <f>AL34-CY34</f>
        <v>0</v>
      </c>
      <c r="AM75" s="38">
        <f>AM34-CZ34</f>
        <v>0</v>
      </c>
      <c r="AN75" s="38">
        <f>AN34-DA34</f>
        <v>0</v>
      </c>
      <c r="AO75" s="38">
        <f>AO34-DB34</f>
        <v>0</v>
      </c>
      <c r="AP75" s="38">
        <f>AP34-DC34</f>
        <v>0</v>
      </c>
      <c r="AQ75" s="38">
        <f>AQ34-DD34</f>
        <v>0</v>
      </c>
      <c r="AR75" s="38">
        <f>AR34-DE34</f>
        <v>0</v>
      </c>
      <c r="AS75" s="38">
        <f>AS34-DF34</f>
        <v>0</v>
      </c>
      <c r="AT75" s="38">
        <f>AT34-DG34</f>
        <v>0</v>
      </c>
      <c r="AU75" s="38">
        <f>AU34-DH34</f>
        <v>0</v>
      </c>
      <c r="AV75" s="38">
        <f>AV34-DI34</f>
        <v>0</v>
      </c>
      <c r="AW75" s="38">
        <f>AW34-DJ34</f>
        <v>0</v>
      </c>
      <c r="AX75" s="38">
        <f>AX34-DK34</f>
        <v>0</v>
      </c>
      <c r="AY75" s="38">
        <f>AY34-DL34</f>
        <v>0</v>
      </c>
      <c r="AZ75" s="38">
        <f>AZ34-DM34</f>
        <v>0</v>
      </c>
      <c r="BA75" s="38">
        <f>BA34-DN34</f>
        <v>0</v>
      </c>
      <c r="BB75" s="38">
        <f>BB34-DO34</f>
        <v>0</v>
      </c>
      <c r="BC75" s="38">
        <f>BC34-DP34</f>
        <v>0</v>
      </c>
      <c r="BD75" s="38">
        <f>BD34-DQ34</f>
        <v>0</v>
      </c>
      <c r="BE75" s="38">
        <f>BE34-DR34</f>
        <v>0</v>
      </c>
      <c r="BF75" s="38">
        <f>BF34-DS34</f>
        <v>0</v>
      </c>
      <c r="BG75" s="38">
        <f>BG34-DT34</f>
        <v>0</v>
      </c>
      <c r="BH75" s="38">
        <f>BH34-DU34</f>
        <v>0</v>
      </c>
      <c r="BI75" s="38">
        <f>BI34-DV34</f>
        <v>0</v>
      </c>
      <c r="BJ75" s="38">
        <f>BJ34-DW34</f>
        <v>0</v>
      </c>
      <c r="BK75" s="38">
        <f>BK34-DX34</f>
        <v>0</v>
      </c>
      <c r="BL75" s="38">
        <f>BL34-DY34</f>
        <v>0</v>
      </c>
      <c r="BM75" s="38">
        <f>BM34-DZ34</f>
        <v>0</v>
      </c>
      <c r="BN75" s="38" t="e">
        <f>BN34-#REF!</f>
        <v>#REF!</v>
      </c>
      <c r="BO75" s="38" t="e">
        <f>BO34-#REF!</f>
        <v>#REF!</v>
      </c>
      <c r="BP75" s="38" t="e">
        <f>BP34-#REF!</f>
        <v>#REF!</v>
      </c>
      <c r="BQ75" s="38" t="e">
        <f>BQ34-#REF!</f>
        <v>#REF!</v>
      </c>
      <c r="BR75" s="38" t="e">
        <f>BR34-#REF!</f>
        <v>#REF!</v>
      </c>
      <c r="BS75" s="38" t="e">
        <f>BS34-#REF!</f>
        <v>#REF!</v>
      </c>
      <c r="BT75" s="38" t="e">
        <f>BT34-#REF!</f>
        <v>#REF!</v>
      </c>
      <c r="BU75" s="38" t="e">
        <f>BU34-#REF!</f>
        <v>#REF!</v>
      </c>
    </row>
    <row r="76" spans="13:73" hidden="1" x14ac:dyDescent="0.3">
      <c r="M76" s="38">
        <f>M35-BZ35</f>
        <v>0</v>
      </c>
      <c r="N76" s="38">
        <f>N35-CA35</f>
        <v>0</v>
      </c>
      <c r="O76" s="38">
        <f>O35-CB35</f>
        <v>0</v>
      </c>
      <c r="P76" s="38">
        <f>P35-CC35</f>
        <v>0</v>
      </c>
      <c r="Q76" s="38">
        <f>Q35-CD35</f>
        <v>0</v>
      </c>
      <c r="R76" s="38">
        <f>R35-CE35</f>
        <v>0</v>
      </c>
      <c r="S76" s="38">
        <f>S35-CF35</f>
        <v>0</v>
      </c>
      <c r="T76" s="38">
        <f>T35-CG35</f>
        <v>0</v>
      </c>
      <c r="U76" s="38">
        <f>U35-CH35</f>
        <v>0</v>
      </c>
      <c r="V76" s="38">
        <f>V35-CI35</f>
        <v>0</v>
      </c>
      <c r="W76" s="38">
        <f>W35-CJ35</f>
        <v>0</v>
      </c>
      <c r="X76" s="38">
        <f>X35-CK35</f>
        <v>0</v>
      </c>
      <c r="Y76" s="38">
        <f>Y35-CL35</f>
        <v>0</v>
      </c>
      <c r="Z76" s="38">
        <f>Z35-CM35</f>
        <v>0</v>
      </c>
      <c r="AA76" s="38">
        <f>AA35-CN35</f>
        <v>0</v>
      </c>
      <c r="AB76" s="38">
        <f>AB35-CO35</f>
        <v>0</v>
      </c>
      <c r="AC76" s="38">
        <f>AC35-CP35</f>
        <v>0</v>
      </c>
      <c r="AD76" s="38">
        <f>AD35-CQ35</f>
        <v>0</v>
      </c>
      <c r="AE76" s="38">
        <f>AE35-CR35</f>
        <v>0</v>
      </c>
      <c r="AF76" s="38">
        <f>AF35-CS35</f>
        <v>0</v>
      </c>
      <c r="AG76" s="38">
        <f>AG35-CT35</f>
        <v>0</v>
      </c>
      <c r="AH76" s="38">
        <f>AH35-CU35</f>
        <v>0</v>
      </c>
      <c r="AI76" s="38">
        <f>AI35-CV35</f>
        <v>0</v>
      </c>
      <c r="AJ76" s="38">
        <f>AJ35-CW35</f>
        <v>0</v>
      </c>
      <c r="AK76" s="38">
        <f>AK35-CX35</f>
        <v>0</v>
      </c>
      <c r="AL76" s="38">
        <f>AL35-CY35</f>
        <v>0</v>
      </c>
      <c r="AM76" s="38">
        <f>AM35-CZ35</f>
        <v>0</v>
      </c>
      <c r="AN76" s="38">
        <f>AN35-DA35</f>
        <v>0</v>
      </c>
      <c r="AO76" s="38">
        <f>AO35-DB35</f>
        <v>0</v>
      </c>
      <c r="AP76" s="38">
        <f>AP35-DC35</f>
        <v>0</v>
      </c>
      <c r="AQ76" s="38">
        <f>AQ35-DD35</f>
        <v>0</v>
      </c>
      <c r="AR76" s="38">
        <f>AR35-DE35</f>
        <v>0</v>
      </c>
      <c r="AS76" s="38">
        <f>AS35-DF35</f>
        <v>0</v>
      </c>
      <c r="AT76" s="38">
        <f>AT35-DG35</f>
        <v>0</v>
      </c>
      <c r="AU76" s="38">
        <f>AU35-DH35</f>
        <v>0</v>
      </c>
      <c r="AV76" s="38">
        <f>AV35-DI35</f>
        <v>0</v>
      </c>
      <c r="AW76" s="38">
        <f>AW35-DJ35</f>
        <v>0</v>
      </c>
      <c r="AX76" s="38">
        <f>AX35-DK35</f>
        <v>0</v>
      </c>
      <c r="AY76" s="38">
        <f>AY35-DL35</f>
        <v>0</v>
      </c>
      <c r="AZ76" s="38">
        <f>AZ35-DM35</f>
        <v>0</v>
      </c>
      <c r="BA76" s="38">
        <f>BA35-DN35</f>
        <v>0</v>
      </c>
      <c r="BB76" s="38">
        <f>BB35-DO35</f>
        <v>0</v>
      </c>
      <c r="BC76" s="38">
        <f>BC35-DP35</f>
        <v>0</v>
      </c>
      <c r="BD76" s="38">
        <f>BD35-DQ35</f>
        <v>0</v>
      </c>
      <c r="BE76" s="38">
        <f>BE35-DR35</f>
        <v>0</v>
      </c>
      <c r="BF76" s="38">
        <f>BF35-DS35</f>
        <v>0</v>
      </c>
      <c r="BG76" s="38">
        <f>BG35-DT35</f>
        <v>0</v>
      </c>
      <c r="BH76" s="38">
        <f>BH35-DU35</f>
        <v>0</v>
      </c>
      <c r="BI76" s="38">
        <f>BI35-DV35</f>
        <v>0</v>
      </c>
      <c r="BJ76" s="38">
        <f>BJ35-DW35</f>
        <v>0</v>
      </c>
      <c r="BK76" s="38">
        <f>BK35-DX35</f>
        <v>0</v>
      </c>
      <c r="BL76" s="38">
        <f>BL35-DY35</f>
        <v>0</v>
      </c>
      <c r="BM76" s="38">
        <f>BM35-DZ35</f>
        <v>0</v>
      </c>
      <c r="BN76" s="38" t="e">
        <f>BN35-#REF!</f>
        <v>#REF!</v>
      </c>
      <c r="BO76" s="38" t="e">
        <f>BO35-#REF!</f>
        <v>#REF!</v>
      </c>
      <c r="BP76" s="38" t="e">
        <f>BP35-#REF!</f>
        <v>#REF!</v>
      </c>
      <c r="BQ76" s="38" t="e">
        <f>BQ35-#REF!</f>
        <v>#REF!</v>
      </c>
      <c r="BR76" s="38" t="e">
        <f>BR35-#REF!</f>
        <v>#REF!</v>
      </c>
      <c r="BS76" s="38" t="e">
        <f>BS35-#REF!</f>
        <v>#REF!</v>
      </c>
      <c r="BT76" s="38" t="e">
        <f>BT35-#REF!</f>
        <v>#REF!</v>
      </c>
      <c r="BU76" s="38" t="e">
        <f>BU35-#REF!</f>
        <v>#REF!</v>
      </c>
    </row>
    <row r="77" spans="13:73" hidden="1" x14ac:dyDescent="0.3">
      <c r="M77" s="38">
        <f>M36-BZ36</f>
        <v>0</v>
      </c>
      <c r="N77" s="38">
        <f>N36-CA36</f>
        <v>0</v>
      </c>
      <c r="O77" s="38">
        <f>O36-CB36</f>
        <v>0</v>
      </c>
      <c r="P77" s="38">
        <f>P36-CC36</f>
        <v>0</v>
      </c>
      <c r="Q77" s="38">
        <f>Q36-CD36</f>
        <v>0</v>
      </c>
      <c r="R77" s="38">
        <f>R36-CE36</f>
        <v>0</v>
      </c>
      <c r="S77" s="38">
        <f>S36-CF36</f>
        <v>0</v>
      </c>
      <c r="T77" s="38">
        <f>T36-CG36</f>
        <v>0</v>
      </c>
      <c r="U77" s="38">
        <f>U36-CH36</f>
        <v>0</v>
      </c>
      <c r="V77" s="38">
        <f>V36-CI36</f>
        <v>0</v>
      </c>
      <c r="W77" s="38">
        <f>W36-CJ36</f>
        <v>0</v>
      </c>
      <c r="X77" s="38">
        <f>X36-CK36</f>
        <v>0</v>
      </c>
      <c r="Y77" s="38">
        <f>Y36-CL36</f>
        <v>0</v>
      </c>
      <c r="Z77" s="38">
        <f>Z36-CM36</f>
        <v>0</v>
      </c>
      <c r="AA77" s="38">
        <f>AA36-CN36</f>
        <v>0</v>
      </c>
      <c r="AB77" s="38">
        <f>AB36-CO36</f>
        <v>0</v>
      </c>
      <c r="AC77" s="38">
        <f>AC36-CP36</f>
        <v>0</v>
      </c>
      <c r="AD77" s="38">
        <f>AD36-CQ36</f>
        <v>0</v>
      </c>
      <c r="AE77" s="38">
        <f>AE36-CR36</f>
        <v>0</v>
      </c>
      <c r="AF77" s="38">
        <f>AF36-CS36</f>
        <v>0</v>
      </c>
      <c r="AG77" s="38">
        <f>AG36-CT36</f>
        <v>0</v>
      </c>
      <c r="AH77" s="38">
        <f>AH36-CU36</f>
        <v>0</v>
      </c>
      <c r="AI77" s="38">
        <f>AI36-CV36</f>
        <v>0</v>
      </c>
      <c r="AJ77" s="38">
        <f>AJ36-CW36</f>
        <v>0</v>
      </c>
      <c r="AK77" s="38">
        <f>AK36-CX36</f>
        <v>0</v>
      </c>
      <c r="AL77" s="38">
        <f>AL36-CY36</f>
        <v>0</v>
      </c>
      <c r="AM77" s="38">
        <f>AM36-CZ36</f>
        <v>0</v>
      </c>
      <c r="AN77" s="38">
        <f>AN36-DA36</f>
        <v>0</v>
      </c>
      <c r="AO77" s="38">
        <f>AO36-DB36</f>
        <v>0</v>
      </c>
      <c r="AP77" s="38">
        <f>AP36-DC36</f>
        <v>0</v>
      </c>
      <c r="AQ77" s="38">
        <f>AQ36-DD36</f>
        <v>0</v>
      </c>
      <c r="AR77" s="38">
        <f>AR36-DE36</f>
        <v>0</v>
      </c>
      <c r="AS77" s="38">
        <f>AS36-DF36</f>
        <v>0</v>
      </c>
      <c r="AT77" s="38">
        <f>AT36-DG36</f>
        <v>0</v>
      </c>
      <c r="AU77" s="38">
        <f>AU36-DH36</f>
        <v>0</v>
      </c>
      <c r="AV77" s="38">
        <f>AV36-DI36</f>
        <v>0</v>
      </c>
      <c r="AW77" s="38">
        <f>AW36-DJ36</f>
        <v>0</v>
      </c>
      <c r="AX77" s="38">
        <f>AX36-DK36</f>
        <v>0</v>
      </c>
      <c r="AY77" s="38">
        <f>AY36-DL36</f>
        <v>0</v>
      </c>
      <c r="AZ77" s="38">
        <f>AZ36-DM36</f>
        <v>0</v>
      </c>
      <c r="BA77" s="38">
        <f>BA36-DN36</f>
        <v>0</v>
      </c>
      <c r="BB77" s="38">
        <f>BB36-DO36</f>
        <v>0</v>
      </c>
      <c r="BC77" s="38">
        <f>BC36-DP36</f>
        <v>0</v>
      </c>
      <c r="BD77" s="38">
        <f>BD36-DQ36</f>
        <v>0</v>
      </c>
      <c r="BE77" s="38">
        <f>BE36-DR36</f>
        <v>0</v>
      </c>
      <c r="BF77" s="38">
        <f>BF36-DS36</f>
        <v>0</v>
      </c>
      <c r="BG77" s="38">
        <f>BG36-DT36</f>
        <v>0</v>
      </c>
      <c r="BH77" s="38">
        <f>BH36-DU36</f>
        <v>0</v>
      </c>
      <c r="BI77" s="38">
        <f>BI36-DV36</f>
        <v>0</v>
      </c>
      <c r="BJ77" s="38">
        <f>BJ36-DW36</f>
        <v>0</v>
      </c>
      <c r="BK77" s="38">
        <f>BK36-DX36</f>
        <v>0</v>
      </c>
      <c r="BL77" s="38">
        <f>BL36-DY36</f>
        <v>0</v>
      </c>
      <c r="BM77" s="38">
        <f>BM36-DZ36</f>
        <v>0</v>
      </c>
      <c r="BN77" s="38" t="e">
        <f>BN36-#REF!</f>
        <v>#REF!</v>
      </c>
      <c r="BO77" s="38" t="e">
        <f>BO36-#REF!</f>
        <v>#REF!</v>
      </c>
      <c r="BP77" s="38" t="e">
        <f>BP36-#REF!</f>
        <v>#REF!</v>
      </c>
      <c r="BQ77" s="38" t="e">
        <f>BQ36-#REF!</f>
        <v>#REF!</v>
      </c>
      <c r="BR77" s="38" t="e">
        <f>BR36-#REF!</f>
        <v>#REF!</v>
      </c>
      <c r="BS77" s="38" t="e">
        <f>BS36-#REF!</f>
        <v>#REF!</v>
      </c>
      <c r="BT77" s="38" t="e">
        <f>BT36-#REF!</f>
        <v>#REF!</v>
      </c>
      <c r="BU77" s="38" t="e">
        <f>BU36-#REF!</f>
        <v>#REF!</v>
      </c>
    </row>
    <row r="78" spans="13:73" hidden="1" x14ac:dyDescent="0.3">
      <c r="M78" s="38">
        <f>M37-BZ37</f>
        <v>0</v>
      </c>
      <c r="N78" s="38">
        <f>N37-CA37</f>
        <v>0</v>
      </c>
      <c r="O78" s="38">
        <f>O37-CB37</f>
        <v>0</v>
      </c>
      <c r="P78" s="38">
        <f>P37-CC37</f>
        <v>0</v>
      </c>
      <c r="Q78" s="38">
        <f>Q37-CD37</f>
        <v>0</v>
      </c>
      <c r="R78" s="38">
        <f>R37-CE37</f>
        <v>0</v>
      </c>
      <c r="S78" s="38">
        <f>S37-CF37</f>
        <v>0</v>
      </c>
      <c r="T78" s="38">
        <f>T37-CG37</f>
        <v>0</v>
      </c>
      <c r="U78" s="38">
        <f>U37-CH37</f>
        <v>0</v>
      </c>
      <c r="V78" s="38">
        <f>V37-CI37</f>
        <v>0</v>
      </c>
      <c r="W78" s="38">
        <f>W37-CJ37</f>
        <v>0</v>
      </c>
      <c r="X78" s="38">
        <f>X37-CK37</f>
        <v>0</v>
      </c>
      <c r="Y78" s="38">
        <f>Y37-CL37</f>
        <v>0</v>
      </c>
      <c r="Z78" s="38">
        <f>Z37-CM37</f>
        <v>0</v>
      </c>
      <c r="AA78" s="38">
        <f>AA37-CN37</f>
        <v>0</v>
      </c>
      <c r="AB78" s="38">
        <f>AB37-CO37</f>
        <v>0</v>
      </c>
      <c r="AC78" s="38">
        <f>AC37-CP37</f>
        <v>0</v>
      </c>
      <c r="AD78" s="38">
        <f>AD37-CQ37</f>
        <v>0</v>
      </c>
      <c r="AE78" s="38">
        <f>AE37-CR37</f>
        <v>0</v>
      </c>
      <c r="AF78" s="38">
        <f>AF37-CS37</f>
        <v>0</v>
      </c>
      <c r="AG78" s="38">
        <f>AG37-CT37</f>
        <v>0</v>
      </c>
      <c r="AH78" s="38">
        <f>AH37-CU37</f>
        <v>0</v>
      </c>
      <c r="AI78" s="38">
        <f>AI37-CV37</f>
        <v>0</v>
      </c>
      <c r="AJ78" s="38">
        <f>AJ37-CW37</f>
        <v>0</v>
      </c>
      <c r="AK78" s="38">
        <f>AK37-CX37</f>
        <v>0</v>
      </c>
      <c r="AL78" s="38">
        <f>AL37-CY37</f>
        <v>0</v>
      </c>
      <c r="AM78" s="38">
        <f>AM37-CZ37</f>
        <v>0</v>
      </c>
      <c r="AN78" s="38">
        <f>AN37-DA37</f>
        <v>0</v>
      </c>
      <c r="AO78" s="38">
        <f>AO37-DB37</f>
        <v>0</v>
      </c>
      <c r="AP78" s="38">
        <f>AP37-DC37</f>
        <v>0</v>
      </c>
      <c r="AQ78" s="38">
        <f>AQ37-DD37</f>
        <v>0</v>
      </c>
      <c r="AR78" s="38">
        <f>AR37-DE37</f>
        <v>0</v>
      </c>
      <c r="AS78" s="38">
        <f>AS37-DF37</f>
        <v>0</v>
      </c>
      <c r="AT78" s="38">
        <f>AT37-DG37</f>
        <v>0</v>
      </c>
      <c r="AU78" s="38">
        <f>AU37-DH37</f>
        <v>0</v>
      </c>
      <c r="AV78" s="38">
        <f>AV37-DI37</f>
        <v>0</v>
      </c>
      <c r="AW78" s="38">
        <f>AW37-DJ37</f>
        <v>0</v>
      </c>
      <c r="AX78" s="38">
        <f>AX37-DK37</f>
        <v>0</v>
      </c>
      <c r="AY78" s="38">
        <f>AY37-DL37</f>
        <v>0</v>
      </c>
      <c r="AZ78" s="38">
        <f>AZ37-DM37</f>
        <v>0</v>
      </c>
      <c r="BA78" s="38">
        <f>BA37-DN37</f>
        <v>0</v>
      </c>
      <c r="BB78" s="38">
        <f>BB37-DO37</f>
        <v>0</v>
      </c>
      <c r="BC78" s="38">
        <f>BC37-DP37</f>
        <v>0</v>
      </c>
      <c r="BD78" s="38">
        <f>BD37-DQ37</f>
        <v>0</v>
      </c>
      <c r="BE78" s="38">
        <f>BE37-DR37</f>
        <v>0</v>
      </c>
      <c r="BF78" s="38">
        <f>BF37-DS37</f>
        <v>0</v>
      </c>
      <c r="BG78" s="38">
        <f>BG37-DT37</f>
        <v>0</v>
      </c>
      <c r="BH78" s="38">
        <f>BH37-DU37</f>
        <v>0</v>
      </c>
      <c r="BI78" s="38">
        <f>BI37-DV37</f>
        <v>0</v>
      </c>
      <c r="BJ78" s="38">
        <f>BJ37-DW37</f>
        <v>0</v>
      </c>
      <c r="BK78" s="38">
        <f>BK37-DX37</f>
        <v>0</v>
      </c>
      <c r="BL78" s="38">
        <f>BL37-DY37</f>
        <v>0</v>
      </c>
      <c r="BM78" s="38">
        <f>BM37-DZ37</f>
        <v>0</v>
      </c>
      <c r="BN78" s="38" t="e">
        <f>BN37-#REF!</f>
        <v>#REF!</v>
      </c>
      <c r="BO78" s="38" t="e">
        <f>BO37-#REF!</f>
        <v>#REF!</v>
      </c>
      <c r="BP78" s="38" t="e">
        <f>BP37-#REF!</f>
        <v>#REF!</v>
      </c>
      <c r="BQ78" s="38" t="e">
        <f>BQ37-#REF!</f>
        <v>#REF!</v>
      </c>
      <c r="BR78" s="38" t="e">
        <f>BR37-#REF!</f>
        <v>#REF!</v>
      </c>
      <c r="BS78" s="38" t="e">
        <f>BS37-#REF!</f>
        <v>#REF!</v>
      </c>
      <c r="BT78" s="38" t="e">
        <f>BT37-#REF!</f>
        <v>#REF!</v>
      </c>
      <c r="BU78" s="38" t="e">
        <f>BU37-#REF!</f>
        <v>#REF!</v>
      </c>
    </row>
    <row r="79" spans="13:73" hidden="1" x14ac:dyDescent="0.3">
      <c r="M79" s="38">
        <f>M38-BZ38</f>
        <v>-24541720.868039966</v>
      </c>
      <c r="N79" s="38">
        <f>N38-CA38</f>
        <v>0</v>
      </c>
      <c r="O79" s="38">
        <f>O38-CB38</f>
        <v>0</v>
      </c>
      <c r="P79" s="38">
        <f>P38-CC38</f>
        <v>0</v>
      </c>
      <c r="Q79" s="38">
        <f>Q38-CD38</f>
        <v>0</v>
      </c>
      <c r="R79" s="38">
        <f>R38-CE38</f>
        <v>-992232.82340999972</v>
      </c>
      <c r="S79" s="38">
        <f>S38-CF38</f>
        <v>0</v>
      </c>
      <c r="T79" s="38">
        <f>T38-CG38</f>
        <v>0</v>
      </c>
      <c r="U79" s="38">
        <f>U38-CH38</f>
        <v>0</v>
      </c>
      <c r="V79" s="38">
        <f>V38-CI38</f>
        <v>0</v>
      </c>
      <c r="W79" s="38">
        <f>W38-CJ38</f>
        <v>-17509612.579360023</v>
      </c>
      <c r="X79" s="38">
        <f>X38-CK38</f>
        <v>0</v>
      </c>
      <c r="Y79" s="38">
        <f>Y38-CL38</f>
        <v>0</v>
      </c>
      <c r="Z79" s="38">
        <f>Z38-CM38</f>
        <v>0</v>
      </c>
      <c r="AA79" s="38">
        <f>AA38-CN38</f>
        <v>0</v>
      </c>
      <c r="AB79" s="38">
        <f>AB38-CO38</f>
        <v>47906877.569129989</v>
      </c>
      <c r="AC79" s="38">
        <f>AC38-CP38</f>
        <v>0</v>
      </c>
      <c r="AD79" s="38">
        <f>AD38-CQ38</f>
        <v>0</v>
      </c>
      <c r="AE79" s="38">
        <f>AE38-CR38</f>
        <v>0</v>
      </c>
      <c r="AF79" s="38">
        <f>AF38-CS38</f>
        <v>0</v>
      </c>
      <c r="AG79" s="38">
        <f>AG38-CT38</f>
        <v>-26441476.898249999</v>
      </c>
      <c r="AH79" s="38">
        <f>AH38-CU38</f>
        <v>0</v>
      </c>
      <c r="AI79" s="38">
        <f>AI38-CV38</f>
        <v>0</v>
      </c>
      <c r="AJ79" s="38">
        <f>AJ38-CW38</f>
        <v>0</v>
      </c>
      <c r="AK79" s="38">
        <f>AK38-CX38</f>
        <v>0</v>
      </c>
      <c r="AL79" s="38">
        <f>AL38-CY38</f>
        <v>14666106.245150045</v>
      </c>
      <c r="AM79" s="38">
        <f>AM38-CZ38</f>
        <v>0</v>
      </c>
      <c r="AN79" s="38">
        <f>AN38-DA38</f>
        <v>0</v>
      </c>
      <c r="AO79" s="38">
        <f>AO38-DB38</f>
        <v>0</v>
      </c>
      <c r="AP79" s="38">
        <f>AP38-DC38</f>
        <v>0</v>
      </c>
      <c r="AQ79" s="38">
        <f>AQ38-DD38</f>
        <v>-12838833.617930021</v>
      </c>
      <c r="AR79" s="38">
        <f>AR38-DE38</f>
        <v>0</v>
      </c>
      <c r="AS79" s="38">
        <f>AS38-DF38</f>
        <v>0</v>
      </c>
      <c r="AT79" s="38">
        <f>AT38-DG38</f>
        <v>0</v>
      </c>
      <c r="AU79" s="38">
        <f>AU38-DH38</f>
        <v>0</v>
      </c>
      <c r="AV79" s="38">
        <f>AV38-DI38</f>
        <v>18390143.260510013</v>
      </c>
      <c r="AW79" s="38">
        <f>AW38-DJ38</f>
        <v>0</v>
      </c>
      <c r="AX79" s="38">
        <f>AX38-DK38</f>
        <v>0</v>
      </c>
      <c r="AY79" s="38">
        <f>AY38-DL38</f>
        <v>0</v>
      </c>
      <c r="AZ79" s="38">
        <f>AZ38-DM38</f>
        <v>0</v>
      </c>
      <c r="BA79" s="38">
        <f>BA38-DN38</f>
        <v>7224805.4555600164</v>
      </c>
      <c r="BB79" s="38">
        <f>BB38-DO38</f>
        <v>0</v>
      </c>
      <c r="BC79" s="38">
        <f>BC38-DP38</f>
        <v>0</v>
      </c>
      <c r="BD79" s="38">
        <f>BD38-DQ38</f>
        <v>0</v>
      </c>
      <c r="BE79" s="38">
        <f>BE38-DR38</f>
        <v>0</v>
      </c>
      <c r="BF79" s="38">
        <f>BF38-DS38</f>
        <v>-31020330.557449967</v>
      </c>
      <c r="BG79" s="38">
        <f>BG38-DT38</f>
        <v>0</v>
      </c>
      <c r="BH79" s="38">
        <f>BH38-DU38</f>
        <v>0</v>
      </c>
      <c r="BI79" s="38">
        <f>BI38-DV38</f>
        <v>0</v>
      </c>
      <c r="BJ79" s="38">
        <f>BJ38-DW38</f>
        <v>0</v>
      </c>
      <c r="BK79" s="38">
        <f>BK38-DX38</f>
        <v>2244402.8846200258</v>
      </c>
      <c r="BL79" s="38">
        <f>BL38-DY38</f>
        <v>0</v>
      </c>
      <c r="BM79" s="38">
        <f>BM38-DZ38</f>
        <v>0</v>
      </c>
      <c r="BN79" s="38" t="e">
        <f>BN38-#REF!</f>
        <v>#REF!</v>
      </c>
      <c r="BO79" s="38" t="e">
        <f>BO38-#REF!</f>
        <v>#REF!</v>
      </c>
      <c r="BP79" s="38" t="e">
        <f>BP38-#REF!</f>
        <v>#REF!</v>
      </c>
      <c r="BQ79" s="38" t="e">
        <f>BQ38-#REF!</f>
        <v>#REF!</v>
      </c>
      <c r="BR79" s="38" t="e">
        <f>BR38-#REF!</f>
        <v>#REF!</v>
      </c>
      <c r="BS79" s="38" t="e">
        <f>BS38-#REF!</f>
        <v>#REF!</v>
      </c>
      <c r="BT79" s="38" t="e">
        <f>BT38-#REF!</f>
        <v>#REF!</v>
      </c>
      <c r="BU79" s="38" t="e">
        <f>BU38-#REF!</f>
        <v>#REF!</v>
      </c>
    </row>
    <row r="80" spans="13:73" hidden="1" x14ac:dyDescent="0.3">
      <c r="M80" s="38">
        <f>M39-BZ39</f>
        <v>0</v>
      </c>
      <c r="N80" s="38">
        <f>N39-CA39</f>
        <v>0</v>
      </c>
      <c r="O80" s="38">
        <f>O39-CB39</f>
        <v>0</v>
      </c>
      <c r="P80" s="38">
        <f>P39-CC39</f>
        <v>0</v>
      </c>
      <c r="Q80" s="38">
        <f>Q39-CD39</f>
        <v>0</v>
      </c>
      <c r="R80" s="38">
        <f>R39-CE39</f>
        <v>0</v>
      </c>
      <c r="S80" s="38">
        <f>S39-CF39</f>
        <v>0</v>
      </c>
      <c r="T80" s="38">
        <f>T39-CG39</f>
        <v>0</v>
      </c>
      <c r="U80" s="38">
        <f>U39-CH39</f>
        <v>0</v>
      </c>
      <c r="V80" s="38">
        <f>V39-CI39</f>
        <v>0</v>
      </c>
      <c r="W80" s="38">
        <f>W39-CJ39</f>
        <v>0</v>
      </c>
      <c r="X80" s="38">
        <f>X39-CK39</f>
        <v>0</v>
      </c>
      <c r="Y80" s="38">
        <f>Y39-CL39</f>
        <v>0</v>
      </c>
      <c r="Z80" s="38">
        <f>Z39-CM39</f>
        <v>0</v>
      </c>
      <c r="AA80" s="38">
        <f>AA39-CN39</f>
        <v>0</v>
      </c>
      <c r="AB80" s="38">
        <f>AB39-CO39</f>
        <v>0</v>
      </c>
      <c r="AC80" s="38">
        <f>AC39-CP39</f>
        <v>0</v>
      </c>
      <c r="AD80" s="38">
        <f>AD39-CQ39</f>
        <v>0</v>
      </c>
      <c r="AE80" s="38">
        <f>AE39-CR39</f>
        <v>0</v>
      </c>
      <c r="AF80" s="38">
        <f>AF39-CS39</f>
        <v>0</v>
      </c>
      <c r="AG80" s="38">
        <f>AG39-CT39</f>
        <v>0</v>
      </c>
      <c r="AH80" s="38">
        <f>AH39-CU39</f>
        <v>0</v>
      </c>
      <c r="AI80" s="38">
        <f>AI39-CV39</f>
        <v>0</v>
      </c>
      <c r="AJ80" s="38">
        <f>AJ39-CW39</f>
        <v>0</v>
      </c>
      <c r="AK80" s="38">
        <f>AK39-CX39</f>
        <v>0</v>
      </c>
      <c r="AL80" s="38">
        <f>AL39-CY39</f>
        <v>0</v>
      </c>
      <c r="AM80" s="38">
        <f>AM39-CZ39</f>
        <v>0</v>
      </c>
      <c r="AN80" s="38">
        <f>AN39-DA39</f>
        <v>0</v>
      </c>
      <c r="AO80" s="38">
        <f>AO39-DB39</f>
        <v>0</v>
      </c>
      <c r="AP80" s="38">
        <f>AP39-DC39</f>
        <v>0</v>
      </c>
      <c r="AQ80" s="38">
        <f>AQ39-DD39</f>
        <v>0</v>
      </c>
      <c r="AR80" s="38">
        <f>AR39-DE39</f>
        <v>0</v>
      </c>
      <c r="AS80" s="38">
        <f>AS39-DF39</f>
        <v>0</v>
      </c>
      <c r="AT80" s="38">
        <f>AT39-DG39</f>
        <v>0</v>
      </c>
      <c r="AU80" s="38">
        <f>AU39-DH39</f>
        <v>0</v>
      </c>
      <c r="AV80" s="38">
        <f>AV39-DI39</f>
        <v>0</v>
      </c>
      <c r="AW80" s="38">
        <f>AW39-DJ39</f>
        <v>0</v>
      </c>
      <c r="AX80" s="38">
        <f>AX39-DK39</f>
        <v>0</v>
      </c>
      <c r="AY80" s="38">
        <f>AY39-DL39</f>
        <v>0</v>
      </c>
      <c r="AZ80" s="38">
        <f>AZ39-DM39</f>
        <v>0</v>
      </c>
      <c r="BA80" s="38">
        <f>BA39-DN39</f>
        <v>0</v>
      </c>
      <c r="BB80" s="38">
        <f>BB39-DO39</f>
        <v>0</v>
      </c>
      <c r="BC80" s="38">
        <f>BC39-DP39</f>
        <v>0</v>
      </c>
      <c r="BD80" s="38">
        <f>BD39-DQ39</f>
        <v>0</v>
      </c>
      <c r="BE80" s="38">
        <f>BE39-DR39</f>
        <v>0</v>
      </c>
      <c r="BF80" s="38">
        <f>BF39-DS39</f>
        <v>0</v>
      </c>
      <c r="BG80" s="38">
        <f>BG39-DT39</f>
        <v>0</v>
      </c>
      <c r="BH80" s="38">
        <f>BH39-DU39</f>
        <v>0</v>
      </c>
      <c r="BI80" s="38">
        <f>BI39-DV39</f>
        <v>0</v>
      </c>
      <c r="BJ80" s="38">
        <f>BJ39-DW39</f>
        <v>0</v>
      </c>
      <c r="BK80" s="38">
        <f>BK39-DX39</f>
        <v>0</v>
      </c>
      <c r="BL80" s="38">
        <f>BL39-DY39</f>
        <v>0</v>
      </c>
      <c r="BM80" s="38">
        <f>BM39-DZ39</f>
        <v>0</v>
      </c>
      <c r="BN80" s="38" t="e">
        <f>BN39-#REF!</f>
        <v>#REF!</v>
      </c>
      <c r="BO80" s="38" t="e">
        <f>BO39-#REF!</f>
        <v>#REF!</v>
      </c>
      <c r="BP80" s="38" t="e">
        <f>BP39-#REF!</f>
        <v>#REF!</v>
      </c>
      <c r="BQ80" s="38" t="e">
        <f>BQ39-#REF!</f>
        <v>#REF!</v>
      </c>
      <c r="BR80" s="38" t="e">
        <f>BR39-#REF!</f>
        <v>#REF!</v>
      </c>
      <c r="BS80" s="38" t="e">
        <f>BS39-#REF!</f>
        <v>#REF!</v>
      </c>
      <c r="BT80" s="38" t="e">
        <f>BT39-#REF!</f>
        <v>#REF!</v>
      </c>
      <c r="BU80" s="38" t="e">
        <f>BU39-#REF!</f>
        <v>#REF!</v>
      </c>
    </row>
    <row r="81" spans="13:73" hidden="1" x14ac:dyDescent="0.3">
      <c r="M81" s="38">
        <f>M40-BZ40</f>
        <v>-31434347.868039966</v>
      </c>
      <c r="N81" s="38">
        <f>N40-CA40</f>
        <v>0</v>
      </c>
      <c r="O81" s="38">
        <f>O40-CB40</f>
        <v>0</v>
      </c>
      <c r="P81" s="38">
        <f>P40-CC40</f>
        <v>0</v>
      </c>
      <c r="Q81" s="38">
        <f>Q40-CD40</f>
        <v>0</v>
      </c>
      <c r="R81" s="38">
        <f>R40-CE40</f>
        <v>-5491404.5674099997</v>
      </c>
      <c r="S81" s="38">
        <f>S40-CF40</f>
        <v>0</v>
      </c>
      <c r="T81" s="38">
        <f>T40-CG40</f>
        <v>0</v>
      </c>
      <c r="U81" s="38">
        <f>U40-CH40</f>
        <v>0</v>
      </c>
      <c r="V81" s="38">
        <f>V40-CI40</f>
        <v>0</v>
      </c>
      <c r="W81" s="38">
        <f>W40-CJ40</f>
        <v>40481407.420639977</v>
      </c>
      <c r="X81" s="38">
        <f>X40-CK40</f>
        <v>0</v>
      </c>
      <c r="Y81" s="38">
        <f>Y40-CL40</f>
        <v>0</v>
      </c>
      <c r="Z81" s="38">
        <f>Z40-CM40</f>
        <v>0</v>
      </c>
      <c r="AA81" s="38">
        <f>AA40-CN40</f>
        <v>0</v>
      </c>
      <c r="AB81" s="38">
        <f>AB40-CO40</f>
        <v>-111188636.43087001</v>
      </c>
      <c r="AC81" s="38">
        <f>AC40-CP40</f>
        <v>0</v>
      </c>
      <c r="AD81" s="38">
        <f>AD40-CQ40</f>
        <v>0</v>
      </c>
      <c r="AE81" s="38">
        <f>AE40-CR40</f>
        <v>0</v>
      </c>
      <c r="AF81" s="38">
        <f>AF40-CS40</f>
        <v>0</v>
      </c>
      <c r="AG81" s="38">
        <f>AG40-CT40</f>
        <v>38357236.101750001</v>
      </c>
      <c r="AH81" s="38">
        <f>AH40-CU40</f>
        <v>0</v>
      </c>
      <c r="AI81" s="38">
        <f>AI40-CV40</f>
        <v>0</v>
      </c>
      <c r="AJ81" s="38">
        <f>AJ40-CW40</f>
        <v>0</v>
      </c>
      <c r="AK81" s="38">
        <f>AK40-CX40</f>
        <v>0</v>
      </c>
      <c r="AL81" s="38">
        <f>AL40-CY40</f>
        <v>78310129.245150045</v>
      </c>
      <c r="AM81" s="38">
        <f>AM40-CZ40</f>
        <v>0</v>
      </c>
      <c r="AN81" s="38">
        <f>AN40-DA40</f>
        <v>0</v>
      </c>
      <c r="AO81" s="38">
        <f>AO40-DB40</f>
        <v>0</v>
      </c>
      <c r="AP81" s="38">
        <f>AP40-DC40</f>
        <v>0</v>
      </c>
      <c r="AQ81" s="38">
        <f>AQ40-DD40</f>
        <v>-41241794.617930025</v>
      </c>
      <c r="AR81" s="38">
        <f>AR40-DE40</f>
        <v>0</v>
      </c>
      <c r="AS81" s="38">
        <f>AS40-DF40</f>
        <v>0</v>
      </c>
      <c r="AT81" s="38">
        <f>AT40-DG40</f>
        <v>0</v>
      </c>
      <c r="AU81" s="38">
        <f>AU40-DH40</f>
        <v>0</v>
      </c>
      <c r="AV81" s="38">
        <f>AV40-DI40</f>
        <v>3601473.2605100125</v>
      </c>
      <c r="AW81" s="38">
        <f>AW40-DJ40</f>
        <v>0</v>
      </c>
      <c r="AX81" s="38">
        <f>AX40-DK40</f>
        <v>0</v>
      </c>
      <c r="AY81" s="38">
        <f>AY40-DL40</f>
        <v>0</v>
      </c>
      <c r="AZ81" s="38">
        <f>AZ40-DM40</f>
        <v>0</v>
      </c>
      <c r="BA81" s="38">
        <f>BA40-DN40</f>
        <v>-12571077.544439983</v>
      </c>
      <c r="BB81" s="38">
        <f>BB40-DO40</f>
        <v>0</v>
      </c>
      <c r="BC81" s="38">
        <f>BC40-DP40</f>
        <v>0</v>
      </c>
      <c r="BD81" s="38">
        <f>BD40-DQ40</f>
        <v>0</v>
      </c>
      <c r="BE81" s="38">
        <f>BE40-DR40</f>
        <v>0</v>
      </c>
      <c r="BF81" s="38">
        <f>BF40-DS40</f>
        <v>-5284009.5574499667</v>
      </c>
      <c r="BG81" s="38">
        <f>BG40-DT40</f>
        <v>0</v>
      </c>
      <c r="BH81" s="38">
        <f>BH40-DU40</f>
        <v>0</v>
      </c>
      <c r="BI81" s="38">
        <f>BI40-DV40</f>
        <v>0</v>
      </c>
      <c r="BJ81" s="38">
        <f>BJ40-DW40</f>
        <v>0</v>
      </c>
      <c r="BK81" s="38">
        <f>BK40-DX40</f>
        <v>12756200.884620026</v>
      </c>
      <c r="BL81" s="38">
        <f>BL40-DY40</f>
        <v>0</v>
      </c>
      <c r="BM81" s="38">
        <f>BM40-DZ40</f>
        <v>0</v>
      </c>
      <c r="BN81" s="38" t="e">
        <f>BN40-#REF!</f>
        <v>#REF!</v>
      </c>
      <c r="BO81" s="38" t="e">
        <f>BO40-#REF!</f>
        <v>#REF!</v>
      </c>
      <c r="BP81" s="38" t="e">
        <f>BP40-#REF!</f>
        <v>#REF!</v>
      </c>
      <c r="BQ81" s="38" t="e">
        <f>BQ40-#REF!</f>
        <v>#REF!</v>
      </c>
      <c r="BR81" s="38" t="e">
        <f>BR40-#REF!</f>
        <v>#REF!</v>
      </c>
      <c r="BS81" s="38" t="e">
        <f>BS40-#REF!</f>
        <v>#REF!</v>
      </c>
      <c r="BT81" s="38" t="e">
        <f>BT40-#REF!</f>
        <v>#REF!</v>
      </c>
      <c r="BU81" s="38" t="e">
        <f>BU40-#REF!</f>
        <v>#REF!</v>
      </c>
    </row>
    <row r="82" spans="13:73" hidden="1" x14ac:dyDescent="0.3"/>
    <row r="83" spans="13:73" hidden="1" x14ac:dyDescent="0.3"/>
    <row r="84" spans="13:73" hidden="1" x14ac:dyDescent="0.3"/>
    <row r="85" spans="13:73" hidden="1" x14ac:dyDescent="0.3"/>
    <row r="86" spans="13:73" hidden="1" x14ac:dyDescent="0.3"/>
    <row r="87" spans="13:73" hidden="1" x14ac:dyDescent="0.3"/>
    <row r="88" spans="13:73" hidden="1" x14ac:dyDescent="0.3"/>
    <row r="89" spans="13:73" hidden="1" x14ac:dyDescent="0.3"/>
    <row r="90" spans="13:73" hidden="1" x14ac:dyDescent="0.3"/>
    <row r="91" spans="13:73" hidden="1" x14ac:dyDescent="0.3"/>
    <row r="92" spans="13:73" hidden="1" x14ac:dyDescent="0.3"/>
    <row r="93" spans="13:73" hidden="1" x14ac:dyDescent="0.3"/>
    <row r="94" spans="13:73" hidden="1" x14ac:dyDescent="0.3"/>
    <row r="95" spans="13:73" hidden="1" x14ac:dyDescent="0.3"/>
    <row r="96" spans="13:73" hidden="1" x14ac:dyDescent="0.3"/>
    <row r="97" spans="13:111" hidden="1" x14ac:dyDescent="0.3"/>
    <row r="98" spans="13:111" hidden="1" x14ac:dyDescent="0.3"/>
    <row r="99" spans="13:111" hidden="1" x14ac:dyDescent="0.3"/>
    <row r="100" spans="13:111" hidden="1" x14ac:dyDescent="0.3"/>
    <row r="101" spans="13:111" hidden="1" x14ac:dyDescent="0.3"/>
    <row r="102" spans="13:111" hidden="1" x14ac:dyDescent="0.3"/>
    <row r="103" spans="13:111" hidden="1" x14ac:dyDescent="0.3"/>
    <row r="104" spans="13:111" hidden="1" x14ac:dyDescent="0.3"/>
    <row r="106" spans="13:111" x14ac:dyDescent="0.3">
      <c r="M106" s="489"/>
    </row>
    <row r="107" spans="13:111" x14ac:dyDescent="0.3">
      <c r="DG107" s="38">
        <v>2087353.7651195501</v>
      </c>
    </row>
  </sheetData>
  <mergeCells count="3">
    <mergeCell ref="H8:BU8"/>
    <mergeCell ref="BX8:DZ8"/>
    <mergeCell ref="D41:BU41"/>
  </mergeCells>
  <pageMargins left="0.7" right="0.7" top="0.75" bottom="0.75" header="0.3" footer="0.3"/>
  <pageSetup paperSize="9" scale="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Summary</vt:lpstr>
      <vt:lpstr>Table1</vt:lpstr>
      <vt:lpstr>Table2 PG1</vt:lpstr>
      <vt:lpstr>Table2 PG2</vt:lpstr>
      <vt:lpstr>Table3 Summary</vt:lpstr>
      <vt:lpstr>Table3,1</vt:lpstr>
      <vt:lpstr>Table3,2</vt:lpstr>
      <vt:lpstr>Table3,3</vt:lpstr>
      <vt:lpstr>Table3,4</vt:lpstr>
      <vt:lpstr>Table4</vt:lpstr>
      <vt:lpstr>Table5</vt:lpstr>
      <vt:lpstr>Table1!Print_Area</vt:lpstr>
      <vt:lpstr>'Table3,1'!Print_Area</vt:lpstr>
      <vt:lpstr>'Table3,2'!Print_Area</vt:lpstr>
      <vt:lpstr>'Table3,3'!Print_Area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Phindile Dhlame</dc:creator>
  <cp:lastModifiedBy>Phindile Dhlame</cp:lastModifiedBy>
  <cp:lastPrinted>2021-04-30T12:05:46Z</cp:lastPrinted>
  <dcterms:created xsi:type="dcterms:W3CDTF">2021-04-29T20:12:41Z</dcterms:created>
  <dcterms:modified xsi:type="dcterms:W3CDTF">2021-04-30T12:06:30Z</dcterms:modified>
</cp:coreProperties>
</file>